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drawings/drawing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drawings/drawing3.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fmlv.sharepoint.com/sites/FDP/Koplietojamie dokumenti/2_Fiskala_politika/Dati_Valsts_kase_bilances/2026/2026_07/"/>
    </mc:Choice>
  </mc:AlternateContent>
  <xr:revisionPtr revIDLastSave="993" documentId="8_{81B1C360-3BC4-4D2D-A2BD-38D2CE48273D}" xr6:coauthVersionLast="47" xr6:coauthVersionMax="47" xr10:uidLastSave="{0E93C144-F8FA-4E58-8550-08E76096B174}"/>
  <bookViews>
    <workbookView minimized="1" xWindow="0" yWindow="4440" windowWidth="23040" windowHeight="12120" xr2:uid="{00000000-000D-0000-FFFF-FFFF00000000}"/>
  </bookViews>
  <sheets>
    <sheet name="Saturs_Content" sheetId="14" r:id="rId1"/>
    <sheet name="1" sheetId="2" r:id="rId2"/>
    <sheet name="2" sheetId="3" r:id="rId3"/>
    <sheet name="3" sheetId="1" r:id="rId4"/>
    <sheet name="4" sheetId="10" r:id="rId5"/>
    <sheet name="5" sheetId="18" r:id="rId6"/>
    <sheet name="Grafiki" sheetId="17" r:id="rId7"/>
    <sheet name="Īpatsvari" sheetId="19" state="hidden" r:id="rId8"/>
  </sheets>
  <definedNames>
    <definedName name="_xlnm.Print_Titles" localSheetId="1">'1'!$A:$A</definedName>
    <definedName name="_xlnm.Print_Titles" localSheetId="3">'3'!$A:$A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2" i="17" l="1"/>
  <c r="E261" i="17"/>
  <c r="CO133" i="17"/>
  <c r="CO108" i="17"/>
  <c r="EV32" i="1"/>
  <c r="EV33" i="1"/>
  <c r="EV34" i="1"/>
  <c r="DH38" i="2"/>
  <c r="EV29" i="1"/>
  <c r="EV30" i="1"/>
  <c r="EV31" i="1"/>
  <c r="DH35" i="2"/>
  <c r="DH11" i="2" l="1"/>
  <c r="EV5" i="1" s="1"/>
  <c r="EV6" i="1"/>
  <c r="EV7" i="1"/>
  <c r="EV8" i="1"/>
  <c r="EV9" i="1"/>
  <c r="EV10" i="1"/>
  <c r="EV11" i="1"/>
  <c r="EV12" i="1"/>
  <c r="EV13" i="1"/>
  <c r="EV14" i="1"/>
  <c r="EV15" i="1"/>
  <c r="EV16" i="1"/>
  <c r="EV17" i="1"/>
  <c r="EV18" i="1"/>
  <c r="EV19" i="1"/>
  <c r="DH18" i="2"/>
  <c r="DH12" i="2"/>
  <c r="EV26" i="1"/>
  <c r="EV27" i="1"/>
  <c r="EV28" i="1"/>
  <c r="DH32" i="2"/>
  <c r="EV23" i="1"/>
  <c r="EV24" i="1"/>
  <c r="EV25" i="1"/>
  <c r="DH29" i="2"/>
  <c r="EV20" i="1"/>
  <c r="EV21" i="1"/>
  <c r="EV22" i="1"/>
  <c r="DH26" i="2"/>
  <c r="DH9" i="2"/>
  <c r="DH8" i="2" s="1"/>
  <c r="DH5" i="2" s="1"/>
  <c r="CN133" i="17" l="1"/>
  <c r="CN108" i="17"/>
  <c r="EU33" i="1" l="1"/>
  <c r="EU34" i="1"/>
  <c r="DG38" i="2"/>
  <c r="EU30" i="1"/>
  <c r="EU31" i="1"/>
  <c r="DG35" i="2"/>
  <c r="EU27" i="1"/>
  <c r="EU28" i="1"/>
  <c r="DG32" i="2"/>
  <c r="EU24" i="1"/>
  <c r="EU25" i="1"/>
  <c r="DG29" i="2"/>
  <c r="EU21" i="1"/>
  <c r="EU22" i="1"/>
  <c r="DG26" i="2"/>
  <c r="EU7" i="1"/>
  <c r="EU8" i="1"/>
  <c r="EU9" i="1"/>
  <c r="EU10" i="1"/>
  <c r="EU11" i="1"/>
  <c r="EU13" i="1"/>
  <c r="EU14" i="1"/>
  <c r="EU15" i="1"/>
  <c r="EU16" i="1"/>
  <c r="EU17" i="1"/>
  <c r="EU18" i="1"/>
  <c r="EU19" i="1"/>
  <c r="DG18" i="2"/>
  <c r="DG12" i="2"/>
  <c r="EU26" i="1" l="1"/>
  <c r="DG11" i="2"/>
  <c r="CM133" i="17"/>
  <c r="CM108" i="17"/>
  <c r="ET33" i="1"/>
  <c r="ET34" i="1"/>
  <c r="DF38" i="2"/>
  <c r="EU32" i="1" s="1"/>
  <c r="ET30" i="1"/>
  <c r="ET31" i="1"/>
  <c r="DF35" i="2"/>
  <c r="EU29" i="1" s="1"/>
  <c r="ET27" i="1"/>
  <c r="ET28" i="1"/>
  <c r="DF32" i="2"/>
  <c r="ET21" i="1"/>
  <c r="ET22" i="1"/>
  <c r="ET24" i="1"/>
  <c r="ET25" i="1"/>
  <c r="DF29" i="2"/>
  <c r="EU23" i="1" s="1"/>
  <c r="DF26" i="2"/>
  <c r="EU20" i="1" s="1"/>
  <c r="DG9" i="2" l="1"/>
  <c r="DG8" i="2" s="1"/>
  <c r="DG5" i="2" s="1"/>
  <c r="ET7" i="1"/>
  <c r="ET8" i="1"/>
  <c r="ET9" i="1"/>
  <c r="ET10" i="1"/>
  <c r="ET11" i="1"/>
  <c r="ET13" i="1"/>
  <c r="ET14" i="1"/>
  <c r="ET15" i="1"/>
  <c r="ET16" i="1"/>
  <c r="ET17" i="1"/>
  <c r="ET18" i="1"/>
  <c r="ET19" i="1"/>
  <c r="DF18" i="2"/>
  <c r="EU12" i="1" s="1"/>
  <c r="DF12" i="2"/>
  <c r="EU6" i="1" s="1"/>
  <c r="DF11" i="2" l="1"/>
  <c r="EU5" i="1" s="1"/>
  <c r="CL133" i="17"/>
  <c r="CL108" i="17"/>
  <c r="DE38" i="2"/>
  <c r="ET32" i="1" s="1"/>
  <c r="ES34" i="1"/>
  <c r="ES33" i="1"/>
  <c r="ES31" i="1"/>
  <c r="ES30" i="1"/>
  <c r="DE35" i="2"/>
  <c r="ET29" i="1" s="1"/>
  <c r="DE32" i="2"/>
  <c r="ET26" i="1" s="1"/>
  <c r="ES19" i="1"/>
  <c r="ES18" i="1"/>
  <c r="ES17" i="1"/>
  <c r="ES16" i="1"/>
  <c r="ES15" i="1"/>
  <c r="ES14" i="1"/>
  <c r="ES13" i="1"/>
  <c r="ES11" i="1"/>
  <c r="ES10" i="1"/>
  <c r="ES9" i="1"/>
  <c r="ES8" i="1"/>
  <c r="ES7" i="1"/>
  <c r="DF9" i="2" l="1"/>
  <c r="DF8" i="2" s="1"/>
  <c r="DF5" i="2" s="1"/>
  <c r="DE18" i="2"/>
  <c r="ET12" i="1" s="1"/>
  <c r="DE12" i="2"/>
  <c r="ET6" i="1" s="1"/>
  <c r="ES27" i="1"/>
  <c r="ES28" i="1"/>
  <c r="ES24" i="1"/>
  <c r="ES25" i="1"/>
  <c r="ES21" i="1"/>
  <c r="ES22" i="1"/>
  <c r="DE29" i="2"/>
  <c r="DE26" i="2"/>
  <c r="CK133" i="17"/>
  <c r="CK108" i="17"/>
  <c r="DD35" i="2"/>
  <c r="ES29" i="1" s="1"/>
  <c r="ER31" i="1"/>
  <c r="ER30" i="1"/>
  <c r="ER33" i="1"/>
  <c r="ER34" i="1"/>
  <c r="ER24" i="1"/>
  <c r="ER25" i="1"/>
  <c r="ER27" i="1"/>
  <c r="ER28" i="1"/>
  <c r="ER21" i="1"/>
  <c r="ER22" i="1"/>
  <c r="DD32" i="2"/>
  <c r="ES26" i="1" s="1"/>
  <c r="DD29" i="2"/>
  <c r="DD26" i="2"/>
  <c r="DD38" i="2"/>
  <c r="ES32" i="1" s="1"/>
  <c r="ER13" i="1"/>
  <c r="ER14" i="1"/>
  <c r="ER15" i="1"/>
  <c r="ER16" i="1"/>
  <c r="ER17" i="1"/>
  <c r="ER18" i="1"/>
  <c r="ER19" i="1"/>
  <c r="ER11" i="1"/>
  <c r="ER10" i="1"/>
  <c r="ER9" i="1"/>
  <c r="ER8" i="1"/>
  <c r="ER7" i="1"/>
  <c r="DC18" i="2"/>
  <c r="DD18" i="2"/>
  <c r="DD12" i="2"/>
  <c r="ES20" i="1" l="1"/>
  <c r="ET20" i="1"/>
  <c r="ES23" i="1"/>
  <c r="ET23" i="1"/>
  <c r="ES6" i="1"/>
  <c r="ES12" i="1"/>
  <c r="F261" i="17"/>
  <c r="DE11" i="2"/>
  <c r="ET5" i="1" s="1"/>
  <c r="ER12" i="1"/>
  <c r="DD11" i="2"/>
  <c r="DD9" i="2" s="1"/>
  <c r="DD8" i="2" s="1"/>
  <c r="DD5" i="2" s="1"/>
  <c r="CJ133" i="17"/>
  <c r="CJ108" i="17"/>
  <c r="DE9" i="2" l="1"/>
  <c r="DE8" i="2" s="1"/>
  <c r="DE5" i="2" s="1"/>
  <c r="ES5" i="1"/>
  <c r="DC38" i="2"/>
  <c r="ER32" i="1" s="1"/>
  <c r="DC35" i="2"/>
  <c r="ER29" i="1" s="1"/>
  <c r="DC32" i="2"/>
  <c r="ER26" i="1" s="1"/>
  <c r="DC29" i="2"/>
  <c r="ER23" i="1" s="1"/>
  <c r="DC26" i="2"/>
  <c r="ER20" i="1" s="1"/>
  <c r="EQ7" i="1"/>
  <c r="EQ8" i="1"/>
  <c r="EQ9" i="1"/>
  <c r="EQ10" i="1"/>
  <c r="EQ11" i="1"/>
  <c r="EQ13" i="1"/>
  <c r="EQ14" i="1"/>
  <c r="EQ15" i="1"/>
  <c r="EQ16" i="1"/>
  <c r="EQ17" i="1"/>
  <c r="EQ18" i="1"/>
  <c r="EQ19" i="1"/>
  <c r="EQ21" i="1"/>
  <c r="EQ22" i="1"/>
  <c r="EQ24" i="1"/>
  <c r="EQ25" i="1"/>
  <c r="EQ27" i="1"/>
  <c r="EQ28" i="1"/>
  <c r="EQ30" i="1"/>
  <c r="EQ31" i="1"/>
  <c r="EQ33" i="1"/>
  <c r="EQ34" i="1"/>
  <c r="DC12" i="2"/>
  <c r="ER6" i="1" s="1"/>
  <c r="CI133" i="17"/>
  <c r="CI108" i="17"/>
  <c r="DB26" i="2"/>
  <c r="DB18" i="2"/>
  <c r="N241" i="17"/>
  <c r="N251" i="17" s="1"/>
  <c r="N242" i="17"/>
  <c r="N252" i="17" s="1"/>
  <c r="N243" i="17"/>
  <c r="N253" i="17" s="1"/>
  <c r="N244" i="17"/>
  <c r="N254" i="17" s="1"/>
  <c r="N245" i="17"/>
  <c r="N255" i="17" s="1"/>
  <c r="N246" i="17"/>
  <c r="N256" i="17" s="1"/>
  <c r="N231" i="17"/>
  <c r="N232" i="17"/>
  <c r="N233" i="17"/>
  <c r="N234" i="17"/>
  <c r="N235" i="17"/>
  <c r="N236" i="17"/>
  <c r="O25" i="19"/>
  <c r="O26" i="19"/>
  <c r="O27" i="19"/>
  <c r="O28" i="19"/>
  <c r="O29" i="19"/>
  <c r="O30" i="19"/>
  <c r="O31" i="19"/>
  <c r="O24" i="19"/>
  <c r="O14" i="19"/>
  <c r="O15" i="19"/>
  <c r="O16" i="19"/>
  <c r="O17" i="19"/>
  <c r="O18" i="19"/>
  <c r="O19" i="19"/>
  <c r="O20" i="19"/>
  <c r="O3" i="19"/>
  <c r="O4" i="19"/>
  <c r="O5" i="19"/>
  <c r="O6" i="19"/>
  <c r="O7" i="19"/>
  <c r="O8" i="19"/>
  <c r="O9" i="19"/>
  <c r="EQ12" i="1" l="1"/>
  <c r="EQ20" i="1"/>
  <c r="DC11" i="2"/>
  <c r="B25" i="19"/>
  <c r="B26" i="19"/>
  <c r="B27" i="19"/>
  <c r="B28" i="19"/>
  <c r="B29" i="19"/>
  <c r="B30" i="19"/>
  <c r="B31" i="19"/>
  <c r="B24" i="19"/>
  <c r="B14" i="19"/>
  <c r="B15" i="19"/>
  <c r="B16" i="19"/>
  <c r="B17" i="19"/>
  <c r="B18" i="19"/>
  <c r="B19" i="19"/>
  <c r="B20" i="19"/>
  <c r="B13" i="19"/>
  <c r="DC9" i="2" l="1"/>
  <c r="DC8" i="2" s="1"/>
  <c r="DC5" i="2" s="1"/>
  <c r="ER5" i="1"/>
  <c r="K8" i="18"/>
  <c r="Q8" i="18"/>
  <c r="W8" i="18"/>
  <c r="AI8" i="18"/>
  <c r="E153" i="10"/>
  <c r="K7" i="18" l="1"/>
  <c r="Q7" i="18"/>
  <c r="W7" i="18"/>
  <c r="AC7" i="18"/>
  <c r="AI7" i="18"/>
  <c r="J7" i="18"/>
  <c r="P7" i="18"/>
  <c r="V7" i="18"/>
  <c r="AH7" i="18"/>
  <c r="AB7" i="18"/>
  <c r="E7" i="18"/>
  <c r="I7" i="18"/>
  <c r="O7" i="18"/>
  <c r="U7" i="18"/>
  <c r="AA7" i="18"/>
  <c r="AG7" i="18"/>
  <c r="D7" i="18"/>
  <c r="H7" i="18"/>
  <c r="N7" i="18"/>
  <c r="T7" i="18"/>
  <c r="AF7" i="18"/>
  <c r="AC8" i="18"/>
  <c r="AA8" i="18"/>
  <c r="Z7" i="18"/>
  <c r="C112" i="3"/>
  <c r="C343" i="3"/>
  <c r="D202" i="10"/>
  <c r="G201" i="10"/>
  <c r="C108" i="3"/>
  <c r="B632" i="10"/>
  <c r="E340" i="10"/>
  <c r="D643" i="10"/>
  <c r="G635" i="10"/>
  <c r="G641" i="10"/>
  <c r="G348" i="10"/>
  <c r="C110" i="3"/>
  <c r="D196" i="10"/>
  <c r="E159" i="10"/>
  <c r="G198" i="10"/>
  <c r="G344" i="10"/>
  <c r="G350" i="10"/>
  <c r="D344" i="10"/>
  <c r="C109" i="3"/>
  <c r="G347" i="10"/>
  <c r="E155" i="10"/>
  <c r="G639" i="10"/>
  <c r="C111" i="3"/>
  <c r="E162" i="10"/>
  <c r="D10" i="10"/>
  <c r="E161" i="10"/>
  <c r="G16" i="10"/>
  <c r="G196" i="10"/>
  <c r="G342" i="10"/>
  <c r="G10" i="10"/>
  <c r="G637" i="10"/>
  <c r="G636" i="10"/>
  <c r="G13" i="10"/>
  <c r="E157" i="10"/>
  <c r="D11" i="10"/>
  <c r="D345" i="10"/>
  <c r="D198" i="10"/>
  <c r="E6" i="10"/>
  <c r="D205" i="10"/>
  <c r="G351" i="10"/>
  <c r="D346" i="10"/>
  <c r="D347" i="10"/>
  <c r="C191" i="3"/>
  <c r="E154" i="10"/>
  <c r="D13" i="10"/>
  <c r="G345" i="10"/>
  <c r="D634" i="10"/>
  <c r="D638" i="10"/>
  <c r="E163" i="10"/>
  <c r="E160" i="10"/>
  <c r="G204" i="10"/>
  <c r="D349" i="10"/>
  <c r="G11" i="10"/>
  <c r="D14" i="10"/>
  <c r="G9" i="10"/>
  <c r="G638" i="10"/>
  <c r="D637" i="10"/>
  <c r="G8" i="10"/>
  <c r="D15" i="10"/>
  <c r="D9" i="10"/>
  <c r="D639" i="10"/>
  <c r="G643" i="10"/>
  <c r="G202" i="10"/>
  <c r="C190" i="3"/>
  <c r="D343" i="10"/>
  <c r="G640" i="10"/>
  <c r="C189" i="3"/>
  <c r="D348" i="10"/>
  <c r="C152" i="10"/>
  <c r="D641" i="10"/>
  <c r="C192" i="3"/>
  <c r="D635" i="10"/>
  <c r="E632" i="10"/>
  <c r="G346" i="10"/>
  <c r="D200" i="10"/>
  <c r="B152" i="10"/>
  <c r="G349" i="10"/>
  <c r="B340" i="10"/>
  <c r="C344" i="3"/>
  <c r="D642" i="10"/>
  <c r="C347" i="3"/>
  <c r="G199" i="10"/>
  <c r="G15" i="10"/>
  <c r="C346" i="3"/>
  <c r="D203" i="10"/>
  <c r="D351" i="10"/>
  <c r="D17" i="10"/>
  <c r="C188" i="3"/>
  <c r="B6" i="10"/>
  <c r="G203" i="10"/>
  <c r="E156" i="10"/>
  <c r="D201" i="10"/>
  <c r="D199" i="10"/>
  <c r="G205" i="10"/>
  <c r="G17" i="10"/>
  <c r="G197" i="10"/>
  <c r="B194" i="10"/>
  <c r="G642" i="10"/>
  <c r="C345" i="3"/>
  <c r="D350" i="10"/>
  <c r="D640" i="10"/>
  <c r="G12" i="10"/>
  <c r="G14" i="10"/>
  <c r="G634" i="10"/>
  <c r="D636" i="10"/>
  <c r="D16" i="10"/>
  <c r="D8" i="10"/>
  <c r="D12" i="10"/>
  <c r="E158" i="10"/>
  <c r="G200" i="10"/>
  <c r="G343" i="10"/>
  <c r="D204" i="10"/>
  <c r="D197" i="10"/>
  <c r="E194" i="10"/>
  <c r="D342" i="10"/>
  <c r="H6" i="10" l="1"/>
  <c r="C34" i="3"/>
  <c r="C30" i="3"/>
  <c r="C31" i="3"/>
  <c r="C32" i="3"/>
  <c r="C33" i="3"/>
  <c r="P376" i="3" l="1"/>
  <c r="P377" i="3"/>
  <c r="P378" i="3"/>
  <c r="P379" i="3"/>
  <c r="P380" i="3"/>
  <c r="P381" i="3"/>
  <c r="P382" i="3"/>
  <c r="P383" i="3"/>
  <c r="P384" i="3"/>
  <c r="C384" i="3" s="1"/>
  <c r="P385" i="3"/>
  <c r="C385" i="3" s="1"/>
  <c r="P386" i="3"/>
  <c r="C386" i="3" s="1"/>
  <c r="P387" i="3"/>
  <c r="C387" i="3" s="1"/>
  <c r="P388" i="3"/>
  <c r="C388" i="3" s="1"/>
  <c r="DI25" i="2"/>
  <c r="P61" i="3"/>
  <c r="P62" i="3"/>
  <c r="P63" i="3"/>
  <c r="P64" i="3"/>
  <c r="P65" i="3"/>
  <c r="P66" i="3"/>
  <c r="P67" i="3"/>
  <c r="P68" i="3"/>
  <c r="P69" i="3"/>
  <c r="C69" i="3" s="1"/>
  <c r="P70" i="3"/>
  <c r="C70" i="3" s="1"/>
  <c r="P71" i="3"/>
  <c r="C71" i="3" s="1"/>
  <c r="P72" i="3"/>
  <c r="C72" i="3" s="1"/>
  <c r="P73" i="3"/>
  <c r="C73" i="3" s="1"/>
  <c r="P140" i="3"/>
  <c r="P141" i="3"/>
  <c r="P142" i="3"/>
  <c r="P143" i="3"/>
  <c r="P144" i="3"/>
  <c r="P145" i="3"/>
  <c r="P146" i="3"/>
  <c r="P147" i="3"/>
  <c r="P148" i="3"/>
  <c r="C148" i="3" s="1"/>
  <c r="P149" i="3"/>
  <c r="C149" i="3" s="1"/>
  <c r="P150" i="3"/>
  <c r="C150" i="3" s="1"/>
  <c r="P151" i="3"/>
  <c r="C151" i="3" s="1"/>
  <c r="P152" i="3"/>
  <c r="C152" i="3" s="1"/>
  <c r="P221" i="3"/>
  <c r="P222" i="3"/>
  <c r="P223" i="3"/>
  <c r="P224" i="3"/>
  <c r="P225" i="3"/>
  <c r="P226" i="3"/>
  <c r="P227" i="3"/>
  <c r="P228" i="3"/>
  <c r="P229" i="3"/>
  <c r="C229" i="3" s="1"/>
  <c r="P230" i="3"/>
  <c r="C230" i="3" s="1"/>
  <c r="P231" i="3"/>
  <c r="C231" i="3" s="1"/>
  <c r="P232" i="3"/>
  <c r="C232" i="3" s="1"/>
  <c r="P233" i="3"/>
  <c r="C233" i="3" s="1"/>
  <c r="N247" i="17" l="1"/>
  <c r="N257" i="17" s="1"/>
  <c r="N237" i="17"/>
  <c r="EP28" i="1"/>
  <c r="EP13" i="1"/>
  <c r="EP24" i="1"/>
  <c r="EP18" i="1"/>
  <c r="EP25" i="1"/>
  <c r="EP30" i="1"/>
  <c r="EP7" i="1"/>
  <c r="EP11" i="1"/>
  <c r="EP15" i="1"/>
  <c r="EP9" i="1"/>
  <c r="EP14" i="1"/>
  <c r="EP31" i="1"/>
  <c r="EP17" i="1"/>
  <c r="EP16" i="1"/>
  <c r="EP10" i="1"/>
  <c r="EP8" i="1"/>
  <c r="EP21" i="1"/>
  <c r="EP33" i="1"/>
  <c r="EP22" i="1"/>
  <c r="EP34" i="1"/>
  <c r="EP27" i="1"/>
  <c r="EP19" i="1"/>
  <c r="DB12" i="2"/>
  <c r="EQ6" i="1" s="1"/>
  <c r="EP20" i="1"/>
  <c r="G194" i="10"/>
  <c r="E152" i="10"/>
  <c r="G341" i="10"/>
  <c r="D340" i="10"/>
  <c r="D194" i="10"/>
  <c r="G195" i="10"/>
  <c r="D632" i="10"/>
  <c r="G632" i="10"/>
  <c r="G340" i="10"/>
  <c r="G633" i="10"/>
  <c r="EP12" i="1" l="1"/>
  <c r="EP6" i="1"/>
  <c r="F262" i="17"/>
  <c r="DB11" i="2"/>
  <c r="W78" i="10"/>
  <c r="W79" i="10"/>
  <c r="W80" i="10"/>
  <c r="W81" i="10"/>
  <c r="W82" i="10"/>
  <c r="W83" i="10"/>
  <c r="W84" i="10"/>
  <c r="W85" i="10"/>
  <c r="W86" i="10"/>
  <c r="W87" i="10"/>
  <c r="W88" i="10"/>
  <c r="W89" i="10"/>
  <c r="W90" i="10"/>
  <c r="W266" i="10"/>
  <c r="W267" i="10"/>
  <c r="G267" i="10" s="1"/>
  <c r="W268" i="10"/>
  <c r="G268" i="10" s="1"/>
  <c r="W269" i="10"/>
  <c r="W270" i="10"/>
  <c r="W271" i="10"/>
  <c r="W272" i="10"/>
  <c r="W273" i="10"/>
  <c r="W274" i="10"/>
  <c r="W275" i="10"/>
  <c r="W276" i="10"/>
  <c r="W277" i="10"/>
  <c r="W278" i="10"/>
  <c r="W412" i="10"/>
  <c r="W413" i="10"/>
  <c r="G413" i="10" s="1"/>
  <c r="W414" i="10"/>
  <c r="G414" i="10" s="1"/>
  <c r="W415" i="10"/>
  <c r="W416" i="10"/>
  <c r="W417" i="10"/>
  <c r="W418" i="10"/>
  <c r="W419" i="10"/>
  <c r="W420" i="10"/>
  <c r="W421" i="10"/>
  <c r="W422" i="10"/>
  <c r="W423" i="10"/>
  <c r="W424" i="10"/>
  <c r="W704" i="10"/>
  <c r="W705" i="10"/>
  <c r="G705" i="10" s="1"/>
  <c r="W706" i="10"/>
  <c r="G706" i="10" s="1"/>
  <c r="W707" i="10"/>
  <c r="W708" i="10"/>
  <c r="W709" i="10"/>
  <c r="W710" i="10"/>
  <c r="W711" i="10"/>
  <c r="W712" i="10"/>
  <c r="W713" i="10"/>
  <c r="W714" i="10"/>
  <c r="W715" i="10"/>
  <c r="W716" i="10"/>
  <c r="D633" i="10"/>
  <c r="D6" i="10"/>
  <c r="D341" i="10"/>
  <c r="D195" i="10"/>
  <c r="G7" i="10"/>
  <c r="G6" i="10"/>
  <c r="DB9" i="2" l="1"/>
  <c r="DB8" i="2" s="1"/>
  <c r="DB5" i="2" s="1"/>
  <c r="EQ5" i="1"/>
  <c r="H261" i="17"/>
  <c r="EP5" i="1"/>
  <c r="G421" i="10"/>
  <c r="D421" i="10"/>
  <c r="D413" i="10"/>
  <c r="G272" i="10"/>
  <c r="D272" i="10"/>
  <c r="D705" i="10"/>
  <c r="G708" i="10"/>
  <c r="D708" i="10"/>
  <c r="G715" i="10"/>
  <c r="D715" i="10"/>
  <c r="G420" i="10"/>
  <c r="D420" i="10"/>
  <c r="G419" i="10"/>
  <c r="D419" i="10"/>
  <c r="G277" i="10"/>
  <c r="D277" i="10"/>
  <c r="D712" i="10"/>
  <c r="G712" i="10"/>
  <c r="D417" i="10"/>
  <c r="G417" i="10"/>
  <c r="G276" i="10"/>
  <c r="D276" i="10"/>
  <c r="G711" i="10"/>
  <c r="D711" i="10"/>
  <c r="D424" i="10"/>
  <c r="G424" i="10"/>
  <c r="G416" i="10"/>
  <c r="D416" i="10"/>
  <c r="G275" i="10"/>
  <c r="D275" i="10"/>
  <c r="D267" i="10"/>
  <c r="G714" i="10"/>
  <c r="D714" i="10"/>
  <c r="G270" i="10"/>
  <c r="D270" i="10"/>
  <c r="G713" i="10"/>
  <c r="D713" i="10"/>
  <c r="D269" i="10"/>
  <c r="G269" i="10"/>
  <c r="G423" i="10"/>
  <c r="D423" i="10"/>
  <c r="G716" i="10"/>
  <c r="D716" i="10"/>
  <c r="G707" i="10"/>
  <c r="D707" i="10"/>
  <c r="D271" i="10"/>
  <c r="G271" i="10"/>
  <c r="D278" i="10"/>
  <c r="G278" i="10"/>
  <c r="G418" i="10"/>
  <c r="D418" i="10"/>
  <c r="D710" i="10"/>
  <c r="G710" i="10"/>
  <c r="D415" i="10"/>
  <c r="G415" i="10"/>
  <c r="G274" i="10"/>
  <c r="D274" i="10"/>
  <c r="D709" i="10"/>
  <c r="G709" i="10"/>
  <c r="G422" i="10"/>
  <c r="D422" i="10"/>
  <c r="G273" i="10"/>
  <c r="D273" i="10"/>
  <c r="D414" i="10"/>
  <c r="D268" i="10"/>
  <c r="D706" i="10"/>
  <c r="G81" i="10"/>
  <c r="D81" i="10"/>
  <c r="D88" i="10"/>
  <c r="G88" i="10"/>
  <c r="G80" i="10"/>
  <c r="G82" i="10"/>
  <c r="D82" i="10"/>
  <c r="G87" i="10"/>
  <c r="D87" i="10"/>
  <c r="G79" i="10"/>
  <c r="D79" i="10"/>
  <c r="D83" i="10"/>
  <c r="G83" i="10"/>
  <c r="G90" i="10"/>
  <c r="D90" i="10"/>
  <c r="D86" i="10"/>
  <c r="G86" i="10"/>
  <c r="D85" i="10"/>
  <c r="G85" i="10"/>
  <c r="G89" i="10"/>
  <c r="D89" i="10"/>
  <c r="D84" i="10"/>
  <c r="G84" i="10"/>
  <c r="DI38" i="2"/>
  <c r="DB38" i="2"/>
  <c r="EQ32" i="1" s="1"/>
  <c r="DI35" i="2"/>
  <c r="DB35" i="2"/>
  <c r="DI32" i="2"/>
  <c r="DB32" i="2"/>
  <c r="EQ26" i="1" s="1"/>
  <c r="DI29" i="2"/>
  <c r="DB29" i="2"/>
  <c r="EQ23" i="1" s="1"/>
  <c r="DI26" i="2"/>
  <c r="DI18" i="2"/>
  <c r="DI12" i="2"/>
  <c r="H262" i="17" s="1"/>
  <c r="AI19" i="18"/>
  <c r="AI15" i="18"/>
  <c r="AI10" i="18"/>
  <c r="AI17" i="18"/>
  <c r="AI18" i="18"/>
  <c r="AI20" i="18"/>
  <c r="AI21" i="18"/>
  <c r="AI22" i="18"/>
  <c r="AI16" i="18"/>
  <c r="AI11" i="18"/>
  <c r="AI12" i="18"/>
  <c r="AI13" i="18"/>
  <c r="AI14" i="18"/>
  <c r="AH17" i="18"/>
  <c r="AH18" i="18"/>
  <c r="AH19" i="18"/>
  <c r="AH20" i="18"/>
  <c r="AH21" i="18"/>
  <c r="AH22" i="18"/>
  <c r="AH16" i="18"/>
  <c r="AH15" i="18"/>
  <c r="AH11" i="18"/>
  <c r="AH12" i="18"/>
  <c r="AH13" i="18"/>
  <c r="AH14" i="18"/>
  <c r="AH10" i="18"/>
  <c r="AG17" i="18"/>
  <c r="AG15" i="18"/>
  <c r="AG11" i="18"/>
  <c r="AG10" i="18"/>
  <c r="AF16" i="18"/>
  <c r="AF15" i="18"/>
  <c r="AF11" i="18"/>
  <c r="AG18" i="18"/>
  <c r="AG19" i="18"/>
  <c r="AG20" i="18"/>
  <c r="AG21" i="18"/>
  <c r="AG22" i="18"/>
  <c r="AG16" i="18"/>
  <c r="AG12" i="18"/>
  <c r="AG13" i="18"/>
  <c r="AG14" i="18"/>
  <c r="AF17" i="18"/>
  <c r="AF18" i="18"/>
  <c r="AF19" i="18"/>
  <c r="AF20" i="18"/>
  <c r="AF21" i="18"/>
  <c r="AF22" i="18"/>
  <c r="AF12" i="18"/>
  <c r="AF13" i="18"/>
  <c r="AF14" i="18"/>
  <c r="AF10" i="18"/>
  <c r="AD15" i="18"/>
  <c r="AD9" i="18"/>
  <c r="AE15" i="18"/>
  <c r="AE9" i="18"/>
  <c r="AG9" i="18" s="1"/>
  <c r="C15" i="18"/>
  <c r="C182" i="3"/>
  <c r="C181" i="3"/>
  <c r="C102" i="3"/>
  <c r="C341" i="3"/>
  <c r="C104" i="3"/>
  <c r="C186" i="3"/>
  <c r="C101" i="3"/>
  <c r="C187" i="3"/>
  <c r="C336" i="3"/>
  <c r="C185" i="3"/>
  <c r="C340" i="3"/>
  <c r="C184" i="3"/>
  <c r="C337" i="3"/>
  <c r="C183" i="3"/>
  <c r="D7" i="10"/>
  <c r="C107" i="3"/>
  <c r="C338" i="3"/>
  <c r="C105" i="3"/>
  <c r="C342" i="3"/>
  <c r="C103" i="3"/>
  <c r="C106" i="3"/>
  <c r="C339" i="3"/>
  <c r="C383" i="3" l="1"/>
  <c r="C147" i="3"/>
  <c r="C228" i="3"/>
  <c r="C382" i="3"/>
  <c r="C146" i="3"/>
  <c r="C227" i="3"/>
  <c r="C145" i="3"/>
  <c r="C226" i="3"/>
  <c r="C381" i="3"/>
  <c r="C380" i="3"/>
  <c r="C144" i="3"/>
  <c r="C225" i="3"/>
  <c r="C379" i="3"/>
  <c r="C224" i="3"/>
  <c r="C143" i="3"/>
  <c r="EP29" i="1"/>
  <c r="EQ29" i="1"/>
  <c r="N230" i="17"/>
  <c r="N240" i="17"/>
  <c r="N250" i="17" s="1"/>
  <c r="C222" i="3"/>
  <c r="C377" i="3"/>
  <c r="D80" i="10"/>
  <c r="C141" i="3"/>
  <c r="EP26" i="1"/>
  <c r="EP32" i="1"/>
  <c r="EP23" i="1"/>
  <c r="AF9" i="18"/>
  <c r="C223" i="3"/>
  <c r="C142" i="3"/>
  <c r="C378" i="3"/>
  <c r="E184" i="3"/>
  <c r="E225" i="3" s="1"/>
  <c r="E192" i="3"/>
  <c r="E233" i="3" s="1"/>
  <c r="E186" i="3"/>
  <c r="E227" i="3" s="1"/>
  <c r="E183" i="3"/>
  <c r="E224" i="3" s="1"/>
  <c r="E185" i="3"/>
  <c r="E226" i="3" s="1"/>
  <c r="E181" i="3"/>
  <c r="E222" i="3" s="1"/>
  <c r="E187" i="3"/>
  <c r="E228" i="3" s="1"/>
  <c r="E190" i="3"/>
  <c r="E231" i="3" s="1"/>
  <c r="E191" i="3"/>
  <c r="E232" i="3" s="1"/>
  <c r="E188" i="3"/>
  <c r="E229" i="3" s="1"/>
  <c r="E189" i="3"/>
  <c r="E230" i="3" s="1"/>
  <c r="E182" i="3"/>
  <c r="E223" i="3" s="1"/>
  <c r="E104" i="3"/>
  <c r="E144" i="3" s="1"/>
  <c r="E112" i="3"/>
  <c r="E152" i="3" s="1"/>
  <c r="E106" i="3"/>
  <c r="E146" i="3" s="1"/>
  <c r="E111" i="3"/>
  <c r="E151" i="3" s="1"/>
  <c r="E105" i="3"/>
  <c r="E145" i="3" s="1"/>
  <c r="E101" i="3"/>
  <c r="E141" i="3" s="1"/>
  <c r="E107" i="3"/>
  <c r="E147" i="3" s="1"/>
  <c r="E102" i="3"/>
  <c r="E142" i="3" s="1"/>
  <c r="E108" i="3"/>
  <c r="E148" i="3" s="1"/>
  <c r="E110" i="3"/>
  <c r="E150" i="3" s="1"/>
  <c r="E109" i="3"/>
  <c r="E149" i="3" s="1"/>
  <c r="E103" i="3"/>
  <c r="E143" i="3" s="1"/>
  <c r="E339" i="3"/>
  <c r="E380" i="3" s="1"/>
  <c r="E347" i="3"/>
  <c r="E388" i="3" s="1"/>
  <c r="E340" i="3"/>
  <c r="E381" i="3" s="1"/>
  <c r="E336" i="3"/>
  <c r="E377" i="3" s="1"/>
  <c r="E341" i="3"/>
  <c r="E382" i="3" s="1"/>
  <c r="E342" i="3"/>
  <c r="E383" i="3" s="1"/>
  <c r="E337" i="3"/>
  <c r="E378" i="3" s="1"/>
  <c r="E345" i="3"/>
  <c r="E386" i="3" s="1"/>
  <c r="E338" i="3"/>
  <c r="E379" i="3" s="1"/>
  <c r="E346" i="3"/>
  <c r="E387" i="3" s="1"/>
  <c r="E343" i="3"/>
  <c r="E384" i="3" s="1"/>
  <c r="E344" i="3"/>
  <c r="E385" i="3" s="1"/>
  <c r="DI11" i="2"/>
  <c r="AD8" i="18"/>
  <c r="AD6" i="18" s="1"/>
  <c r="AE8" i="18"/>
  <c r="C28" i="3"/>
  <c r="C27" i="3"/>
  <c r="C24" i="3"/>
  <c r="C26" i="3"/>
  <c r="C25" i="3"/>
  <c r="C29" i="3"/>
  <c r="C23" i="3"/>
  <c r="C68" i="3" l="1"/>
  <c r="C67" i="3"/>
  <c r="C66" i="3"/>
  <c r="C65" i="3"/>
  <c r="C64" i="3"/>
  <c r="AD5" i="18"/>
  <c r="AG6" i="18"/>
  <c r="AF6" i="18"/>
  <c r="C62" i="3"/>
  <c r="AG8" i="18"/>
  <c r="AF8" i="18"/>
  <c r="C63" i="3"/>
  <c r="DI9" i="2"/>
  <c r="DI8" i="2" s="1"/>
  <c r="E28" i="3"/>
  <c r="E67" i="3" s="1"/>
  <c r="E26" i="3"/>
  <c r="E65" i="3" s="1"/>
  <c r="E29" i="3"/>
  <c r="E68" i="3" s="1"/>
  <c r="E34" i="3"/>
  <c r="E73" i="3" s="1"/>
  <c r="E30" i="3"/>
  <c r="E69" i="3" s="1"/>
  <c r="E31" i="3"/>
  <c r="E70" i="3" s="1"/>
  <c r="E24" i="3"/>
  <c r="E63" i="3" s="1"/>
  <c r="E32" i="3"/>
  <c r="E71" i="3" s="1"/>
  <c r="E25" i="3"/>
  <c r="E64" i="3" s="1"/>
  <c r="E33" i="3"/>
  <c r="E72" i="3" s="1"/>
  <c r="E27" i="3"/>
  <c r="E66" i="3" s="1"/>
  <c r="E23" i="3"/>
  <c r="E62" i="3" s="1"/>
  <c r="CH133" i="17"/>
  <c r="CH108" i="17"/>
  <c r="F62" i="3" l="1"/>
  <c r="EO33" i="1"/>
  <c r="EO34" i="1"/>
  <c r="CZ38" i="2"/>
  <c r="EO30" i="1"/>
  <c r="EO31" i="1"/>
  <c r="CZ35" i="2"/>
  <c r="EO27" i="1"/>
  <c r="EO28" i="1"/>
  <c r="CZ32" i="2"/>
  <c r="EO24" i="1"/>
  <c r="EO25" i="1"/>
  <c r="EO21" i="1"/>
  <c r="EO22" i="1"/>
  <c r="CZ29" i="2"/>
  <c r="CZ26" i="2"/>
  <c r="EO7" i="1"/>
  <c r="EO8" i="1"/>
  <c r="EO9" i="1"/>
  <c r="EO10" i="1"/>
  <c r="EO11" i="1"/>
  <c r="EO13" i="1"/>
  <c r="M3" i="19" s="1"/>
  <c r="EO14" i="1"/>
  <c r="M4" i="19" s="1"/>
  <c r="EO15" i="1"/>
  <c r="M5" i="19" s="1"/>
  <c r="EO16" i="1"/>
  <c r="M6" i="19" s="1"/>
  <c r="EO17" i="1"/>
  <c r="M7" i="19" s="1"/>
  <c r="EO18" i="1"/>
  <c r="M8" i="19" s="1"/>
  <c r="EO19" i="1"/>
  <c r="M9" i="19" s="1"/>
  <c r="CZ18" i="2"/>
  <c r="CZ12" i="2"/>
  <c r="C205" i="10"/>
  <c r="F643" i="10"/>
  <c r="F351" i="10"/>
  <c r="C643" i="10"/>
  <c r="C351" i="10"/>
  <c r="F205" i="10"/>
  <c r="D163" i="10"/>
  <c r="CZ11" i="2" l="1"/>
  <c r="CG133" i="17"/>
  <c r="CG108" i="17"/>
  <c r="EN33" i="1"/>
  <c r="EN34" i="1"/>
  <c r="CY38" i="2"/>
  <c r="EN30" i="1"/>
  <c r="EN31" i="1"/>
  <c r="CY35" i="2"/>
  <c r="EN27" i="1"/>
  <c r="EN28" i="1"/>
  <c r="EN24" i="1"/>
  <c r="EN25" i="1"/>
  <c r="EN21" i="1"/>
  <c r="EN22" i="1"/>
  <c r="CY32" i="2"/>
  <c r="CY29" i="2"/>
  <c r="CY26" i="2"/>
  <c r="EO20" i="1" s="1"/>
  <c r="EN7" i="1"/>
  <c r="EN8" i="1"/>
  <c r="EN9" i="1"/>
  <c r="EN10" i="1"/>
  <c r="EN11" i="1"/>
  <c r="EN13" i="1"/>
  <c r="L3" i="19" s="1"/>
  <c r="EN14" i="1"/>
  <c r="L4" i="19" s="1"/>
  <c r="EN15" i="1"/>
  <c r="L5" i="19" s="1"/>
  <c r="EN16" i="1"/>
  <c r="L6" i="19" s="1"/>
  <c r="EN17" i="1"/>
  <c r="L7" i="19" s="1"/>
  <c r="EN18" i="1"/>
  <c r="L8" i="19" s="1"/>
  <c r="EN19" i="1"/>
  <c r="L9" i="19" s="1"/>
  <c r="CY18" i="2"/>
  <c r="CY12" i="2"/>
  <c r="EO6" i="1" s="1"/>
  <c r="CF133" i="17"/>
  <c r="CF108" i="17"/>
  <c r="EM27" i="1"/>
  <c r="EM28" i="1"/>
  <c r="CX32" i="2"/>
  <c r="EM21" i="1"/>
  <c r="EM22" i="1"/>
  <c r="EM24" i="1"/>
  <c r="EM25" i="1"/>
  <c r="CX29" i="2"/>
  <c r="CX26" i="2"/>
  <c r="EM33" i="1"/>
  <c r="EM34" i="1"/>
  <c r="EM30" i="1"/>
  <c r="EM31" i="1"/>
  <c r="CX38" i="2"/>
  <c r="CX35" i="2"/>
  <c r="EM7" i="1"/>
  <c r="EM8" i="1"/>
  <c r="EM9" i="1"/>
  <c r="EM10" i="1"/>
  <c r="EM11" i="1"/>
  <c r="EM13" i="1"/>
  <c r="K3" i="19" s="1"/>
  <c r="EM14" i="1"/>
  <c r="K4" i="19" s="1"/>
  <c r="EM15" i="1"/>
  <c r="K5" i="19" s="1"/>
  <c r="EM16" i="1"/>
  <c r="K6" i="19" s="1"/>
  <c r="EM17" i="1"/>
  <c r="K7" i="19" s="1"/>
  <c r="EM18" i="1"/>
  <c r="K8" i="19" s="1"/>
  <c r="EM19" i="1"/>
  <c r="K9" i="19" s="1"/>
  <c r="CX12" i="2"/>
  <c r="CX18" i="2"/>
  <c r="B110" i="3"/>
  <c r="C349" i="10"/>
  <c r="C203" i="10"/>
  <c r="F203" i="10"/>
  <c r="B190" i="3"/>
  <c r="C641" i="10"/>
  <c r="B191" i="3"/>
  <c r="B345" i="3"/>
  <c r="D161" i="10"/>
  <c r="B346" i="3"/>
  <c r="D162" i="10"/>
  <c r="C350" i="10"/>
  <c r="F641" i="10"/>
  <c r="C642" i="10"/>
  <c r="F204" i="10"/>
  <c r="B111" i="3"/>
  <c r="F349" i="10"/>
  <c r="C204" i="10"/>
  <c r="F350" i="10"/>
  <c r="C17" i="10"/>
  <c r="F642" i="10"/>
  <c r="EN26" i="1" l="1"/>
  <c r="CX11" i="2"/>
  <c r="CX9" i="2" s="1"/>
  <c r="CX8" i="2" s="1"/>
  <c r="CX5" i="2" s="1"/>
  <c r="CZ9" i="2"/>
  <c r="CZ8" i="2" s="1"/>
  <c r="CZ5" i="2" s="1"/>
  <c r="EN23" i="1"/>
  <c r="EO23" i="1"/>
  <c r="EN12" i="1"/>
  <c r="L2" i="19" s="1"/>
  <c r="EO26" i="1"/>
  <c r="EO12" i="1"/>
  <c r="M2" i="19" s="1"/>
  <c r="EN29" i="1"/>
  <c r="EN20" i="1"/>
  <c r="EN32" i="1"/>
  <c r="EO32" i="1"/>
  <c r="EO29" i="1"/>
  <c r="EN6" i="1"/>
  <c r="CY11" i="2"/>
  <c r="Y22" i="18"/>
  <c r="Y14" i="18"/>
  <c r="CE133" i="17"/>
  <c r="CE108" i="17"/>
  <c r="C16" i="10"/>
  <c r="B32" i="3"/>
  <c r="F16" i="10"/>
  <c r="B33" i="3"/>
  <c r="F17" i="10"/>
  <c r="EO5" i="1" l="1"/>
  <c r="CY9" i="2"/>
  <c r="CY8" i="2" s="1"/>
  <c r="CY5" i="2" s="1"/>
  <c r="EN5" i="1"/>
  <c r="EL33" i="1"/>
  <c r="EL34" i="1"/>
  <c r="EL30" i="1"/>
  <c r="EL31" i="1"/>
  <c r="CW38" i="2"/>
  <c r="CW35" i="2"/>
  <c r="EM29" i="1" s="1"/>
  <c r="EL27" i="1"/>
  <c r="EL28" i="1"/>
  <c r="CW32" i="2"/>
  <c r="EL24" i="1"/>
  <c r="EL25" i="1"/>
  <c r="EL21" i="1"/>
  <c r="EL22" i="1"/>
  <c r="CW29" i="2"/>
  <c r="CW26" i="2"/>
  <c r="EM20" i="1" s="1"/>
  <c r="EL7" i="1"/>
  <c r="EL8" i="1"/>
  <c r="EL9" i="1"/>
  <c r="EL10" i="1"/>
  <c r="EL11" i="1"/>
  <c r="EL13" i="1"/>
  <c r="J3" i="19" s="1"/>
  <c r="EL14" i="1"/>
  <c r="J4" i="19" s="1"/>
  <c r="EL15" i="1"/>
  <c r="J5" i="19" s="1"/>
  <c r="EL16" i="1"/>
  <c r="J6" i="19" s="1"/>
  <c r="EL17" i="1"/>
  <c r="J7" i="19" s="1"/>
  <c r="EL18" i="1"/>
  <c r="J8" i="19" s="1"/>
  <c r="EL19" i="1"/>
  <c r="J9" i="19" s="1"/>
  <c r="CW18" i="2"/>
  <c r="EM12" i="1" s="1"/>
  <c r="K2" i="19" s="1"/>
  <c r="CW12" i="2"/>
  <c r="EM6" i="1" s="1"/>
  <c r="C348" i="10"/>
  <c r="F15" i="10"/>
  <c r="F348" i="10"/>
  <c r="F202" i="10"/>
  <c r="C202" i="10"/>
  <c r="B344" i="3"/>
  <c r="C640" i="10"/>
  <c r="F640" i="10"/>
  <c r="B189" i="3"/>
  <c r="D160" i="10"/>
  <c r="B109" i="3"/>
  <c r="C15" i="10"/>
  <c r="EM26" i="1" l="1"/>
  <c r="EM23" i="1"/>
  <c r="EM32" i="1"/>
  <c r="CW11" i="2"/>
  <c r="CD133" i="17"/>
  <c r="CD108" i="17"/>
  <c r="B31" i="3"/>
  <c r="EM5" i="1" l="1"/>
  <c r="CW9" i="2"/>
  <c r="CW8" i="2" s="1"/>
  <c r="CW5" i="2" s="1"/>
  <c r="CV38" i="2"/>
  <c r="CV35" i="2"/>
  <c r="EL29" i="1" s="1"/>
  <c r="CV32" i="2"/>
  <c r="CV29" i="2"/>
  <c r="CV26" i="2"/>
  <c r="EK7" i="1"/>
  <c r="EK8" i="1"/>
  <c r="EK9" i="1"/>
  <c r="EK10" i="1"/>
  <c r="EK11" i="1"/>
  <c r="EK13" i="1"/>
  <c r="I3" i="19" s="1"/>
  <c r="EK14" i="1"/>
  <c r="I4" i="19" s="1"/>
  <c r="EK15" i="1"/>
  <c r="I5" i="19" s="1"/>
  <c r="EK16" i="1"/>
  <c r="I6" i="19" s="1"/>
  <c r="EK17" i="1"/>
  <c r="I7" i="19" s="1"/>
  <c r="EK18" i="1"/>
  <c r="I8" i="19" s="1"/>
  <c r="EK19" i="1"/>
  <c r="I9" i="19" s="1"/>
  <c r="EK21" i="1"/>
  <c r="EK22" i="1"/>
  <c r="EK24" i="1"/>
  <c r="EK25" i="1"/>
  <c r="EK27" i="1"/>
  <c r="EK28" i="1"/>
  <c r="EK30" i="1"/>
  <c r="EK31" i="1"/>
  <c r="EK33" i="1"/>
  <c r="EK34" i="1"/>
  <c r="CV18" i="2"/>
  <c r="CV12" i="2"/>
  <c r="CV10" i="2"/>
  <c r="CC133" i="17"/>
  <c r="CC108" i="17"/>
  <c r="EJ33" i="1"/>
  <c r="EJ34" i="1"/>
  <c r="CU38" i="2"/>
  <c r="EJ30" i="1"/>
  <c r="EJ31" i="1"/>
  <c r="CU35" i="2"/>
  <c r="EJ27" i="1"/>
  <c r="EJ28" i="1"/>
  <c r="CU32" i="2"/>
  <c r="EJ21" i="1"/>
  <c r="EJ22" i="1"/>
  <c r="EJ24" i="1"/>
  <c r="EJ25" i="1"/>
  <c r="CU29" i="2"/>
  <c r="CU26" i="2"/>
  <c r="EJ7" i="1"/>
  <c r="EJ8" i="1"/>
  <c r="EJ9" i="1"/>
  <c r="EJ10" i="1"/>
  <c r="EJ11" i="1"/>
  <c r="EJ13" i="1"/>
  <c r="H3" i="19" s="1"/>
  <c r="EJ14" i="1"/>
  <c r="H4" i="19" s="1"/>
  <c r="EJ15" i="1"/>
  <c r="H5" i="19" s="1"/>
  <c r="EJ16" i="1"/>
  <c r="H6" i="19" s="1"/>
  <c r="EJ17" i="1"/>
  <c r="H7" i="19" s="1"/>
  <c r="EJ18" i="1"/>
  <c r="H8" i="19" s="1"/>
  <c r="EJ19" i="1"/>
  <c r="H9" i="19" s="1"/>
  <c r="CU18" i="2"/>
  <c r="CU12" i="2"/>
  <c r="CU10" i="2"/>
  <c r="B188" i="3"/>
  <c r="C346" i="10"/>
  <c r="D158" i="10"/>
  <c r="C347" i="10"/>
  <c r="B108" i="3"/>
  <c r="B187" i="3"/>
  <c r="F347" i="10"/>
  <c r="F200" i="10"/>
  <c r="B343" i="3"/>
  <c r="F638" i="10"/>
  <c r="F639" i="10"/>
  <c r="F346" i="10"/>
  <c r="C638" i="10"/>
  <c r="C201" i="10"/>
  <c r="B107" i="3"/>
  <c r="D159" i="10"/>
  <c r="C200" i="10"/>
  <c r="F201" i="10"/>
  <c r="C639" i="10"/>
  <c r="B342" i="3"/>
  <c r="EL23" i="1" l="1"/>
  <c r="EL26" i="1"/>
  <c r="EK26" i="1"/>
  <c r="EL32" i="1"/>
  <c r="EK23" i="1"/>
  <c r="EK29" i="1"/>
  <c r="EK20" i="1"/>
  <c r="EL20" i="1"/>
  <c r="EK12" i="1"/>
  <c r="I2" i="19" s="1"/>
  <c r="EL12" i="1"/>
  <c r="J2" i="19" s="1"/>
  <c r="CV11" i="2"/>
  <c r="EL6" i="1"/>
  <c r="EK6" i="1"/>
  <c r="EK32" i="1"/>
  <c r="CU11" i="2"/>
  <c r="C14" i="10"/>
  <c r="C13" i="10"/>
  <c r="B29" i="3"/>
  <c r="F14" i="10"/>
  <c r="F13" i="10"/>
  <c r="B30" i="3"/>
  <c r="EL5" i="1" l="1"/>
  <c r="EK5" i="1"/>
  <c r="CV9" i="2"/>
  <c r="CV8" i="2" s="1"/>
  <c r="CV5" i="2" s="1"/>
  <c r="CU9" i="2"/>
  <c r="CU8" i="2" s="1"/>
  <c r="CU5" i="2" s="1"/>
  <c r="EI7" i="1"/>
  <c r="EI8" i="1"/>
  <c r="EI9" i="1"/>
  <c r="EI10" i="1"/>
  <c r="EI11" i="1"/>
  <c r="EI13" i="1"/>
  <c r="G3" i="19" s="1"/>
  <c r="EI14" i="1"/>
  <c r="G4" i="19" s="1"/>
  <c r="EI15" i="1"/>
  <c r="G5" i="19" s="1"/>
  <c r="EI16" i="1"/>
  <c r="G6" i="19" s="1"/>
  <c r="EI17" i="1"/>
  <c r="G7" i="19" s="1"/>
  <c r="EI18" i="1"/>
  <c r="G8" i="19" s="1"/>
  <c r="EI19" i="1"/>
  <c r="G9" i="19" s="1"/>
  <c r="EI21" i="1"/>
  <c r="EI22" i="1"/>
  <c r="EI24" i="1"/>
  <c r="EI25" i="1"/>
  <c r="EI27" i="1"/>
  <c r="EI28" i="1"/>
  <c r="EI30" i="1"/>
  <c r="EI31" i="1"/>
  <c r="EI33" i="1"/>
  <c r="EI34" i="1"/>
  <c r="C345" i="10"/>
  <c r="F637" i="10"/>
  <c r="C637" i="10"/>
  <c r="C199" i="10"/>
  <c r="F199" i="10"/>
  <c r="F345" i="10"/>
  <c r="D157" i="10"/>
  <c r="CT38" i="2" l="1"/>
  <c r="CT35" i="2"/>
  <c r="EJ29" i="1" s="1"/>
  <c r="B341" i="3"/>
  <c r="EJ32" i="1" l="1"/>
  <c r="CS35" i="2"/>
  <c r="EI29" i="1" s="1"/>
  <c r="CT32" i="2" l="1"/>
  <c r="CT29" i="2"/>
  <c r="CT26" i="2"/>
  <c r="EJ20" i="1" s="1"/>
  <c r="CT18" i="2"/>
  <c r="EJ12" i="1" s="1"/>
  <c r="H2" i="19" s="1"/>
  <c r="CT12" i="2"/>
  <c r="EJ6" i="1" s="1"/>
  <c r="CT10" i="2"/>
  <c r="F12" i="10"/>
  <c r="B106" i="3"/>
  <c r="C12" i="10"/>
  <c r="B186" i="3"/>
  <c r="EJ23" i="1" l="1"/>
  <c r="EJ26" i="1"/>
  <c r="CT11" i="2"/>
  <c r="B28" i="3"/>
  <c r="EJ5" i="1" l="1"/>
  <c r="CT9" i="2"/>
  <c r="CT8" i="2" s="1"/>
  <c r="CT5" i="2" s="1"/>
  <c r="CS38" i="2"/>
  <c r="CS32" i="2"/>
  <c r="CS29" i="2"/>
  <c r="CS26" i="2"/>
  <c r="EI20" i="1" s="1"/>
  <c r="EH7" i="1"/>
  <c r="EH8" i="1"/>
  <c r="EH9" i="1"/>
  <c r="EH10" i="1"/>
  <c r="EH11" i="1"/>
  <c r="EH13" i="1"/>
  <c r="F3" i="19" s="1"/>
  <c r="EH14" i="1"/>
  <c r="F4" i="19" s="1"/>
  <c r="EH15" i="1"/>
  <c r="F5" i="19" s="1"/>
  <c r="EH16" i="1"/>
  <c r="F6" i="19" s="1"/>
  <c r="EH17" i="1"/>
  <c r="F7" i="19" s="1"/>
  <c r="EH18" i="1"/>
  <c r="F8" i="19" s="1"/>
  <c r="EH19" i="1"/>
  <c r="F9" i="19" s="1"/>
  <c r="EH21" i="1"/>
  <c r="EH22" i="1"/>
  <c r="EH24" i="1"/>
  <c r="EH25" i="1"/>
  <c r="EH27" i="1"/>
  <c r="EH28" i="1"/>
  <c r="EH30" i="1"/>
  <c r="EH31" i="1"/>
  <c r="EH33" i="1"/>
  <c r="EH34" i="1"/>
  <c r="CS18" i="2"/>
  <c r="EI12" i="1" s="1"/>
  <c r="G2" i="19" s="1"/>
  <c r="CS12" i="2"/>
  <c r="EI6" i="1" s="1"/>
  <c r="F636" i="10"/>
  <c r="F198" i="10"/>
  <c r="B340" i="3"/>
  <c r="B105" i="3"/>
  <c r="B185" i="3"/>
  <c r="D156" i="10"/>
  <c r="F11" i="10"/>
  <c r="C198" i="10"/>
  <c r="C344" i="10"/>
  <c r="F344" i="10"/>
  <c r="C636" i="10"/>
  <c r="C11" i="10"/>
  <c r="EI23" i="1" l="1"/>
  <c r="EI26" i="1"/>
  <c r="EI32" i="1"/>
  <c r="CS11" i="2"/>
  <c r="EG7" i="1"/>
  <c r="EG8" i="1"/>
  <c r="EG9" i="1"/>
  <c r="EG10" i="1"/>
  <c r="EG11" i="1"/>
  <c r="EG13" i="1"/>
  <c r="E3" i="19" s="1"/>
  <c r="EG14" i="1"/>
  <c r="E4" i="19" s="1"/>
  <c r="EG15" i="1"/>
  <c r="E5" i="19" s="1"/>
  <c r="EG16" i="1"/>
  <c r="E6" i="19" s="1"/>
  <c r="EG17" i="1"/>
  <c r="E7" i="19" s="1"/>
  <c r="EG18" i="1"/>
  <c r="E8" i="19" s="1"/>
  <c r="EG19" i="1"/>
  <c r="E9" i="19" s="1"/>
  <c r="EG21" i="1"/>
  <c r="EG22" i="1"/>
  <c r="EG24" i="1"/>
  <c r="EG25" i="1"/>
  <c r="EG27" i="1"/>
  <c r="EG28" i="1"/>
  <c r="EG30" i="1"/>
  <c r="EG31" i="1"/>
  <c r="EG33" i="1"/>
  <c r="EG34" i="1"/>
  <c r="F343" i="10"/>
  <c r="C197" i="10"/>
  <c r="F635" i="10"/>
  <c r="C343" i="10"/>
  <c r="B27" i="3"/>
  <c r="D155" i="10"/>
  <c r="C635" i="10"/>
  <c r="F197" i="10"/>
  <c r="EI5" i="1" l="1"/>
  <c r="CS9" i="2"/>
  <c r="CS8" i="2" s="1"/>
  <c r="CS5" i="2" s="1"/>
  <c r="CR38" i="2"/>
  <c r="CR35" i="2"/>
  <c r="EH29" i="1" s="1"/>
  <c r="CR32" i="2"/>
  <c r="CR29" i="2"/>
  <c r="CR26" i="2"/>
  <c r="EH20" i="1" s="1"/>
  <c r="CR18" i="2"/>
  <c r="EH12" i="1" s="1"/>
  <c r="F2" i="19" s="1"/>
  <c r="CR12" i="2"/>
  <c r="EH6" i="1" s="1"/>
  <c r="EF30" i="1"/>
  <c r="EF7" i="1"/>
  <c r="EF8" i="1"/>
  <c r="EF9" i="1"/>
  <c r="EF10" i="1"/>
  <c r="EF11" i="1"/>
  <c r="EF13" i="1"/>
  <c r="D3" i="19" s="1"/>
  <c r="EF14" i="1"/>
  <c r="D4" i="19" s="1"/>
  <c r="EF15" i="1"/>
  <c r="D5" i="19" s="1"/>
  <c r="EF16" i="1"/>
  <c r="D6" i="19" s="1"/>
  <c r="EF17" i="1"/>
  <c r="D7" i="19" s="1"/>
  <c r="EF18" i="1"/>
  <c r="D8" i="19" s="1"/>
  <c r="EF19" i="1"/>
  <c r="D9" i="19" s="1"/>
  <c r="EF21" i="1"/>
  <c r="EF22" i="1"/>
  <c r="EF24" i="1"/>
  <c r="EF25" i="1"/>
  <c r="EF27" i="1"/>
  <c r="EF28" i="1"/>
  <c r="EF31" i="1"/>
  <c r="EF33" i="1"/>
  <c r="EF34" i="1"/>
  <c r="C196" i="10"/>
  <c r="C342" i="10"/>
  <c r="B339" i="3"/>
  <c r="F342" i="10"/>
  <c r="F634" i="10"/>
  <c r="C634" i="10"/>
  <c r="B104" i="3"/>
  <c r="F10" i="10"/>
  <c r="F196" i="10"/>
  <c r="D154" i="10"/>
  <c r="B184" i="3"/>
  <c r="C10" i="10"/>
  <c r="EH23" i="1" l="1"/>
  <c r="EH26" i="1"/>
  <c r="EH32" i="1"/>
  <c r="CR11" i="2"/>
  <c r="CQ38" i="2"/>
  <c r="CQ35" i="2"/>
  <c r="EG29" i="1" s="1"/>
  <c r="CQ32" i="2"/>
  <c r="CQ29" i="2"/>
  <c r="CQ26" i="2"/>
  <c r="EG20" i="1" s="1"/>
  <c r="CQ18" i="2"/>
  <c r="EG12" i="1" s="1"/>
  <c r="E2" i="19" s="1"/>
  <c r="CQ12" i="2"/>
  <c r="EG6" i="1" s="1"/>
  <c r="EE7" i="1"/>
  <c r="EE8" i="1"/>
  <c r="EE9" i="1"/>
  <c r="EE10" i="1"/>
  <c r="EE11" i="1"/>
  <c r="EE13" i="1"/>
  <c r="C3" i="19" s="1"/>
  <c r="EE14" i="1"/>
  <c r="C4" i="19" s="1"/>
  <c r="EE15" i="1"/>
  <c r="C5" i="19" s="1"/>
  <c r="EE16" i="1"/>
  <c r="C6" i="19" s="1"/>
  <c r="EE17" i="1"/>
  <c r="C7" i="19" s="1"/>
  <c r="EE18" i="1"/>
  <c r="C8" i="19" s="1"/>
  <c r="EE19" i="1"/>
  <c r="C9" i="19" s="1"/>
  <c r="EE21" i="1"/>
  <c r="EE22" i="1"/>
  <c r="EE24" i="1"/>
  <c r="EE25" i="1"/>
  <c r="EE27" i="1"/>
  <c r="EE28" i="1"/>
  <c r="EE30" i="1"/>
  <c r="EE31" i="1"/>
  <c r="EE33" i="1"/>
  <c r="EE34" i="1"/>
  <c r="B103" i="3"/>
  <c r="B26" i="3"/>
  <c r="F195" i="10"/>
  <c r="C633" i="10"/>
  <c r="C195" i="10"/>
  <c r="B338" i="3"/>
  <c r="F9" i="10"/>
  <c r="D153" i="10"/>
  <c r="B183" i="3"/>
  <c r="F341" i="10"/>
  <c r="F633" i="10"/>
  <c r="C341" i="10"/>
  <c r="C9" i="10"/>
  <c r="EG23" i="1" l="1"/>
  <c r="EG32" i="1"/>
  <c r="EG26" i="1"/>
  <c r="EH5" i="1"/>
  <c r="CR9" i="2"/>
  <c r="CR8" i="2" s="1"/>
  <c r="CR5" i="2" s="1"/>
  <c r="CQ11" i="2"/>
  <c r="CP38" i="2"/>
  <c r="CP35" i="2"/>
  <c r="EF29" i="1" s="1"/>
  <c r="CP32" i="2"/>
  <c r="CP29" i="2"/>
  <c r="CP26" i="2"/>
  <c r="EF20" i="1" s="1"/>
  <c r="CP18" i="2"/>
  <c r="EF12" i="1" s="1"/>
  <c r="D2" i="19" s="1"/>
  <c r="CP12" i="2"/>
  <c r="EF6" i="1" s="1"/>
  <c r="AC18" i="18"/>
  <c r="CM10" i="2"/>
  <c r="C8" i="10"/>
  <c r="B337" i="3"/>
  <c r="B102" i="3"/>
  <c r="B25" i="3"/>
  <c r="B182" i="3"/>
  <c r="F8" i="10"/>
  <c r="EF26" i="1" l="1"/>
  <c r="EF32" i="1"/>
  <c r="EF23" i="1"/>
  <c r="CQ9" i="2"/>
  <c r="CQ8" i="2" s="1"/>
  <c r="CQ5" i="2" s="1"/>
  <c r="EG5" i="1"/>
  <c r="CP11" i="2"/>
  <c r="CO26" i="2"/>
  <c r="EE20" i="1" s="1"/>
  <c r="B24" i="3"/>
  <c r="EF5" i="1" l="1"/>
  <c r="CP9" i="2"/>
  <c r="CP8" i="2" s="1"/>
  <c r="CP5" i="2" s="1"/>
  <c r="ED7" i="1"/>
  <c r="ED8" i="1"/>
  <c r="ED9" i="1"/>
  <c r="ED10" i="1"/>
  <c r="ED11" i="1"/>
  <c r="ED13" i="1"/>
  <c r="B3" i="19" s="1"/>
  <c r="ED14" i="1"/>
  <c r="B4" i="19" s="1"/>
  <c r="ED15" i="1"/>
  <c r="B5" i="19" s="1"/>
  <c r="ED16" i="1"/>
  <c r="B6" i="19" s="1"/>
  <c r="ED17" i="1"/>
  <c r="B7" i="19" s="1"/>
  <c r="ED18" i="1"/>
  <c r="B8" i="19" s="1"/>
  <c r="ED19" i="1"/>
  <c r="B9" i="19" s="1"/>
  <c r="ED20" i="1"/>
  <c r="ED21" i="1"/>
  <c r="ED22" i="1"/>
  <c r="ED24" i="1"/>
  <c r="ED25" i="1"/>
  <c r="ED27" i="1"/>
  <c r="ED28" i="1"/>
  <c r="ED30" i="1"/>
  <c r="ED31" i="1"/>
  <c r="ED33" i="1"/>
  <c r="ED34" i="1"/>
  <c r="F632" i="10"/>
  <c r="F340" i="10"/>
  <c r="D152" i="10"/>
  <c r="F194" i="10"/>
  <c r="C194" i="10"/>
  <c r="C340" i="10"/>
  <c r="C632" i="10"/>
  <c r="N8" i="19" l="1"/>
  <c r="R8" i="19" s="1"/>
  <c r="N7" i="19"/>
  <c r="R7" i="19" s="1"/>
  <c r="N6" i="19"/>
  <c r="R6" i="19" s="1"/>
  <c r="N3" i="19"/>
  <c r="R3" i="19" s="1"/>
  <c r="N5" i="19"/>
  <c r="R5" i="19" s="1"/>
  <c r="N9" i="19"/>
  <c r="R9" i="19" s="1"/>
  <c r="N4" i="19"/>
  <c r="R4" i="19" s="1"/>
  <c r="AC22" i="18"/>
  <c r="AB22" i="18"/>
  <c r="AA22" i="18"/>
  <c r="Z22" i="18"/>
  <c r="W22" i="18"/>
  <c r="V22" i="18"/>
  <c r="U22" i="18"/>
  <c r="T22" i="18"/>
  <c r="Q22" i="18"/>
  <c r="P22" i="18"/>
  <c r="O22" i="18"/>
  <c r="N22" i="18"/>
  <c r="K22" i="18"/>
  <c r="J22" i="18"/>
  <c r="I22" i="18"/>
  <c r="H22" i="18"/>
  <c r="E22" i="18"/>
  <c r="D22" i="18"/>
  <c r="AC21" i="18"/>
  <c r="AB21" i="18"/>
  <c r="AA21" i="18"/>
  <c r="Z21" i="18"/>
  <c r="W21" i="18"/>
  <c r="V21" i="18"/>
  <c r="U21" i="18"/>
  <c r="T21" i="18"/>
  <c r="Q21" i="18"/>
  <c r="P21" i="18"/>
  <c r="O21" i="18"/>
  <c r="N21" i="18"/>
  <c r="K21" i="18"/>
  <c r="J21" i="18"/>
  <c r="I21" i="18"/>
  <c r="H21" i="18"/>
  <c r="E21" i="18"/>
  <c r="D21" i="18"/>
  <c r="AC20" i="18"/>
  <c r="AB20" i="18"/>
  <c r="AA20" i="18"/>
  <c r="Z20" i="18"/>
  <c r="W20" i="18"/>
  <c r="V20" i="18"/>
  <c r="U20" i="18"/>
  <c r="T20" i="18"/>
  <c r="Q20" i="18"/>
  <c r="P20" i="18"/>
  <c r="O20" i="18"/>
  <c r="N20" i="18"/>
  <c r="K20" i="18"/>
  <c r="J20" i="18"/>
  <c r="I20" i="18"/>
  <c r="H20" i="18"/>
  <c r="E20" i="18"/>
  <c r="D20" i="18"/>
  <c r="AC19" i="18"/>
  <c r="AB19" i="18"/>
  <c r="AA19" i="18"/>
  <c r="Z19" i="18"/>
  <c r="W19" i="18"/>
  <c r="V19" i="18"/>
  <c r="U19" i="18"/>
  <c r="T19" i="18"/>
  <c r="Q19" i="18"/>
  <c r="P19" i="18"/>
  <c r="O19" i="18"/>
  <c r="N19" i="18"/>
  <c r="K19" i="18"/>
  <c r="J19" i="18"/>
  <c r="I19" i="18"/>
  <c r="H19" i="18"/>
  <c r="E19" i="18"/>
  <c r="D19" i="18"/>
  <c r="AB18" i="18"/>
  <c r="AA18" i="18"/>
  <c r="Z18" i="18"/>
  <c r="W18" i="18"/>
  <c r="V18" i="18"/>
  <c r="U18" i="18"/>
  <c r="T18" i="18"/>
  <c r="Q18" i="18"/>
  <c r="P18" i="18"/>
  <c r="O18" i="18"/>
  <c r="N18" i="18"/>
  <c r="K18" i="18"/>
  <c r="J18" i="18"/>
  <c r="I18" i="18"/>
  <c r="H18" i="18"/>
  <c r="E18" i="18"/>
  <c r="D18" i="18"/>
  <c r="AC17" i="18"/>
  <c r="AB17" i="18"/>
  <c r="AA17" i="18"/>
  <c r="Z17" i="18"/>
  <c r="W17" i="18"/>
  <c r="V17" i="18"/>
  <c r="U17" i="18"/>
  <c r="T17" i="18"/>
  <c r="Q17" i="18"/>
  <c r="P17" i="18"/>
  <c r="O17" i="18"/>
  <c r="N17" i="18"/>
  <c r="K17" i="18"/>
  <c r="J17" i="18"/>
  <c r="I17" i="18"/>
  <c r="H17" i="18"/>
  <c r="E17" i="18"/>
  <c r="D17" i="18"/>
  <c r="AC16" i="18"/>
  <c r="AB16" i="18"/>
  <c r="AA16" i="18"/>
  <c r="Z16" i="18"/>
  <c r="W16" i="18"/>
  <c r="V16" i="18"/>
  <c r="U16" i="18"/>
  <c r="T16" i="18"/>
  <c r="Q16" i="18"/>
  <c r="P16" i="18"/>
  <c r="O16" i="18"/>
  <c r="N16" i="18"/>
  <c r="K16" i="18"/>
  <c r="J16" i="18"/>
  <c r="I16" i="18"/>
  <c r="H16" i="18"/>
  <c r="E16" i="18"/>
  <c r="D16" i="18"/>
  <c r="Y15" i="18"/>
  <c r="X15" i="18"/>
  <c r="S15" i="18"/>
  <c r="R15" i="18"/>
  <c r="M15" i="18"/>
  <c r="L15" i="18"/>
  <c r="G15" i="18"/>
  <c r="F15" i="18"/>
  <c r="B15" i="18"/>
  <c r="AC14" i="18"/>
  <c r="AB14" i="18"/>
  <c r="AA14" i="18"/>
  <c r="Z14" i="18"/>
  <c r="W14" i="18"/>
  <c r="V14" i="18"/>
  <c r="U14" i="18"/>
  <c r="T14" i="18"/>
  <c r="Q14" i="18"/>
  <c r="P14" i="18"/>
  <c r="O14" i="18"/>
  <c r="N14" i="18"/>
  <c r="K14" i="18"/>
  <c r="J14" i="18"/>
  <c r="I14" i="18"/>
  <c r="H14" i="18"/>
  <c r="E14" i="18"/>
  <c r="D14" i="18"/>
  <c r="AC13" i="18"/>
  <c r="AB13" i="18"/>
  <c r="AA13" i="18"/>
  <c r="Z13" i="18"/>
  <c r="W13" i="18"/>
  <c r="V13" i="18"/>
  <c r="U13" i="18"/>
  <c r="T13" i="18"/>
  <c r="Q13" i="18"/>
  <c r="P13" i="18"/>
  <c r="O13" i="18"/>
  <c r="N13" i="18"/>
  <c r="K13" i="18"/>
  <c r="J13" i="18"/>
  <c r="I13" i="18"/>
  <c r="H13" i="18"/>
  <c r="E13" i="18"/>
  <c r="D13" i="18"/>
  <c r="AC12" i="18"/>
  <c r="AB12" i="18"/>
  <c r="AA12" i="18"/>
  <c r="Z12" i="18"/>
  <c r="W12" i="18"/>
  <c r="V12" i="18"/>
  <c r="U12" i="18"/>
  <c r="T12" i="18"/>
  <c r="Q12" i="18"/>
  <c r="P12" i="18"/>
  <c r="O12" i="18"/>
  <c r="N12" i="18"/>
  <c r="K12" i="18"/>
  <c r="J12" i="18"/>
  <c r="I12" i="18"/>
  <c r="H12" i="18"/>
  <c r="E12" i="18"/>
  <c r="D12" i="18"/>
  <c r="AC11" i="18"/>
  <c r="AB11" i="18"/>
  <c r="AA11" i="18"/>
  <c r="Z11" i="18"/>
  <c r="W11" i="18"/>
  <c r="V11" i="18"/>
  <c r="U11" i="18"/>
  <c r="T11" i="18"/>
  <c r="Q11" i="18"/>
  <c r="P11" i="18"/>
  <c r="O11" i="18"/>
  <c r="N11" i="18"/>
  <c r="K11" i="18"/>
  <c r="J11" i="18"/>
  <c r="I11" i="18"/>
  <c r="H11" i="18"/>
  <c r="E11" i="18"/>
  <c r="D11" i="18"/>
  <c r="AC10" i="18"/>
  <c r="AB10" i="18"/>
  <c r="AA10" i="18"/>
  <c r="Z10" i="18"/>
  <c r="W10" i="18"/>
  <c r="V10" i="18"/>
  <c r="U10" i="18"/>
  <c r="T10" i="18"/>
  <c r="Q10" i="18"/>
  <c r="P10" i="18"/>
  <c r="O10" i="18"/>
  <c r="N10" i="18"/>
  <c r="K10" i="18"/>
  <c r="J10" i="18"/>
  <c r="I10" i="18"/>
  <c r="H10" i="18"/>
  <c r="E10" i="18"/>
  <c r="D10" i="18"/>
  <c r="Y9" i="18"/>
  <c r="X9" i="18"/>
  <c r="S9" i="18"/>
  <c r="R9" i="18"/>
  <c r="M9" i="18"/>
  <c r="M8" i="18" s="1"/>
  <c r="M6" i="18" s="1"/>
  <c r="L9" i="18"/>
  <c r="G9" i="18"/>
  <c r="F9" i="18"/>
  <c r="C9" i="18"/>
  <c r="B9" i="18"/>
  <c r="U4" i="19" l="1"/>
  <c r="AC4" i="19"/>
  <c r="AB4" i="19"/>
  <c r="AA4" i="19"/>
  <c r="Z4" i="19"/>
  <c r="Y4" i="19"/>
  <c r="X4" i="19"/>
  <c r="W4" i="19"/>
  <c r="V4" i="19"/>
  <c r="T4" i="19"/>
  <c r="S4" i="19"/>
  <c r="AA6" i="19"/>
  <c r="AC6" i="19"/>
  <c r="AB6" i="19"/>
  <c r="Z6" i="19"/>
  <c r="Y6" i="19"/>
  <c r="X6" i="19"/>
  <c r="W6" i="19"/>
  <c r="V6" i="19"/>
  <c r="U6" i="19"/>
  <c r="T6" i="19"/>
  <c r="S6" i="19"/>
  <c r="S9" i="19"/>
  <c r="AC9" i="19"/>
  <c r="AA9" i="19"/>
  <c r="AB9" i="19"/>
  <c r="Z9" i="19"/>
  <c r="Y9" i="19"/>
  <c r="X9" i="19"/>
  <c r="W9" i="19"/>
  <c r="V9" i="19"/>
  <c r="U9" i="19"/>
  <c r="T9" i="19"/>
  <c r="U7" i="19"/>
  <c r="AC7" i="19"/>
  <c r="AB7" i="19"/>
  <c r="AA7" i="19"/>
  <c r="Z7" i="19"/>
  <c r="X7" i="19"/>
  <c r="Y7" i="19"/>
  <c r="W7" i="19"/>
  <c r="V7" i="19"/>
  <c r="T7" i="19"/>
  <c r="S7" i="19"/>
  <c r="U3" i="19"/>
  <c r="AC3" i="19"/>
  <c r="AA3" i="19"/>
  <c r="AB3" i="19"/>
  <c r="Z3" i="19"/>
  <c r="X3" i="19"/>
  <c r="Y3" i="19"/>
  <c r="W3" i="19"/>
  <c r="V3" i="19"/>
  <c r="T3" i="19"/>
  <c r="S3" i="19"/>
  <c r="AB5" i="19"/>
  <c r="AC5" i="19"/>
  <c r="AA5" i="19"/>
  <c r="Z5" i="19"/>
  <c r="Y5" i="19"/>
  <c r="X5" i="19"/>
  <c r="W5" i="19"/>
  <c r="V5" i="19"/>
  <c r="U5" i="19"/>
  <c r="T5" i="19"/>
  <c r="S5" i="19"/>
  <c r="V8" i="19"/>
  <c r="AC8" i="19"/>
  <c r="AB8" i="19"/>
  <c r="AA8" i="19"/>
  <c r="Z8" i="19"/>
  <c r="Y8" i="19"/>
  <c r="X8" i="19"/>
  <c r="W8" i="19"/>
  <c r="U8" i="19"/>
  <c r="T8" i="19"/>
  <c r="S8" i="19"/>
  <c r="M5" i="18"/>
  <c r="AH9" i="18"/>
  <c r="AI9" i="18"/>
  <c r="U15" i="18"/>
  <c r="J9" i="18"/>
  <c r="W15" i="18"/>
  <c r="Z15" i="18"/>
  <c r="I15" i="18"/>
  <c r="O9" i="18"/>
  <c r="F8" i="18"/>
  <c r="B8" i="18"/>
  <c r="B6" i="18" s="1"/>
  <c r="B5" i="18" s="1"/>
  <c r="G8" i="18"/>
  <c r="P8" i="18" s="1"/>
  <c r="U9" i="18"/>
  <c r="H15" i="18"/>
  <c r="Z9" i="18"/>
  <c r="P15" i="18"/>
  <c r="D15" i="18"/>
  <c r="R8" i="18"/>
  <c r="R6" i="18" s="1"/>
  <c r="R5" i="18" s="1"/>
  <c r="S8" i="18"/>
  <c r="Q9" i="18"/>
  <c r="I9" i="18"/>
  <c r="V15" i="18"/>
  <c r="AC9" i="18"/>
  <c r="Y8" i="18"/>
  <c r="AH8" i="18" s="1"/>
  <c r="N9" i="18"/>
  <c r="AA9" i="18"/>
  <c r="N15" i="18"/>
  <c r="V9" i="18"/>
  <c r="C8" i="18"/>
  <c r="C6" i="18" s="1"/>
  <c r="E9" i="18"/>
  <c r="J15" i="18"/>
  <c r="AA15" i="18"/>
  <c r="E15" i="18"/>
  <c r="O15" i="18"/>
  <c r="AB15" i="18"/>
  <c r="K15" i="18"/>
  <c r="T15" i="18"/>
  <c r="W9" i="18"/>
  <c r="Q15" i="18"/>
  <c r="AC15" i="18"/>
  <c r="K9" i="18"/>
  <c r="L8" i="18"/>
  <c r="L6" i="18" s="1"/>
  <c r="L5" i="18" s="1"/>
  <c r="X8" i="18"/>
  <c r="X6" i="18" s="1"/>
  <c r="X5" i="18" s="1"/>
  <c r="D9" i="18"/>
  <c r="H9" i="18"/>
  <c r="P9" i="18"/>
  <c r="T9" i="18"/>
  <c r="AB9" i="18"/>
  <c r="V704" i="10"/>
  <c r="V705" i="10"/>
  <c r="V706" i="10"/>
  <c r="V707" i="10"/>
  <c r="V708" i="10"/>
  <c r="V709" i="10"/>
  <c r="V710" i="10"/>
  <c r="V711" i="10"/>
  <c r="V712" i="10"/>
  <c r="V713" i="10"/>
  <c r="V714" i="10"/>
  <c r="V715" i="10"/>
  <c r="V716" i="10"/>
  <c r="V412" i="10"/>
  <c r="V413" i="10"/>
  <c r="V414" i="10"/>
  <c r="V415" i="10"/>
  <c r="V416" i="10"/>
  <c r="V417" i="10"/>
  <c r="V418" i="10"/>
  <c r="V419" i="10"/>
  <c r="V420" i="10"/>
  <c r="V421" i="10"/>
  <c r="V422" i="10"/>
  <c r="V423" i="10"/>
  <c r="V424" i="10"/>
  <c r="V266" i="10"/>
  <c r="V267" i="10"/>
  <c r="V268" i="10"/>
  <c r="V269" i="10"/>
  <c r="V270" i="10"/>
  <c r="V271" i="10"/>
  <c r="V272" i="10"/>
  <c r="V273" i="10"/>
  <c r="V274" i="10"/>
  <c r="V275" i="10"/>
  <c r="V276" i="10"/>
  <c r="V277" i="10"/>
  <c r="V278" i="10"/>
  <c r="V78" i="10"/>
  <c r="V79" i="10"/>
  <c r="V80" i="10"/>
  <c r="V81" i="10"/>
  <c r="V82" i="10"/>
  <c r="V83" i="10"/>
  <c r="V84" i="10"/>
  <c r="V85" i="10"/>
  <c r="V86" i="10"/>
  <c r="V87" i="10"/>
  <c r="V88" i="10"/>
  <c r="V89" i="10"/>
  <c r="V90" i="10"/>
  <c r="U78" i="10"/>
  <c r="CO38" i="2"/>
  <c r="CO32" i="2"/>
  <c r="CO29" i="2"/>
  <c r="B101" i="3"/>
  <c r="B181" i="3"/>
  <c r="B336" i="3"/>
  <c r="AD8" i="19" l="1"/>
  <c r="AD9" i="19"/>
  <c r="AD4" i="19"/>
  <c r="AD6" i="19"/>
  <c r="AD3" i="19"/>
  <c r="AD7" i="19"/>
  <c r="AD5" i="19"/>
  <c r="C422" i="10"/>
  <c r="F422" i="10"/>
  <c r="C710" i="10"/>
  <c r="F710" i="10"/>
  <c r="F711" i="10"/>
  <c r="C711" i="10"/>
  <c r="F278" i="10"/>
  <c r="C278" i="10"/>
  <c r="C421" i="10"/>
  <c r="F421" i="10"/>
  <c r="C269" i="10"/>
  <c r="F269" i="10"/>
  <c r="C419" i="10"/>
  <c r="F419" i="10"/>
  <c r="C276" i="10"/>
  <c r="F276" i="10"/>
  <c r="C267" i="10"/>
  <c r="F267" i="10"/>
  <c r="F707" i="10"/>
  <c r="C707" i="10"/>
  <c r="F271" i="10"/>
  <c r="C271" i="10"/>
  <c r="F270" i="10"/>
  <c r="C270" i="10"/>
  <c r="C420" i="10"/>
  <c r="F420" i="10"/>
  <c r="C708" i="10"/>
  <c r="F708" i="10"/>
  <c r="C417" i="10"/>
  <c r="F417" i="10"/>
  <c r="F714" i="10"/>
  <c r="C714" i="10"/>
  <c r="F706" i="10"/>
  <c r="C706" i="10"/>
  <c r="C268" i="10"/>
  <c r="F268" i="10"/>
  <c r="F275" i="10"/>
  <c r="C275" i="10"/>
  <c r="C715" i="10"/>
  <c r="F715" i="10"/>
  <c r="C274" i="10"/>
  <c r="F274" i="10"/>
  <c r="C273" i="10"/>
  <c r="F273" i="10"/>
  <c r="C424" i="10"/>
  <c r="F424" i="10"/>
  <c r="C416" i="10"/>
  <c r="F416" i="10"/>
  <c r="F713" i="10"/>
  <c r="C713" i="10"/>
  <c r="C705" i="10"/>
  <c r="F705" i="10"/>
  <c r="F414" i="10"/>
  <c r="C414" i="10"/>
  <c r="C413" i="10"/>
  <c r="F413" i="10"/>
  <c r="F277" i="10"/>
  <c r="C277" i="10"/>
  <c r="F709" i="10"/>
  <c r="C709" i="10"/>
  <c r="F716" i="10"/>
  <c r="C716" i="10"/>
  <c r="C418" i="10"/>
  <c r="F418" i="10"/>
  <c r="C272" i="10"/>
  <c r="F272" i="10"/>
  <c r="C423" i="10"/>
  <c r="F423" i="10"/>
  <c r="F415" i="10"/>
  <c r="C415" i="10"/>
  <c r="F712" i="10"/>
  <c r="C712" i="10"/>
  <c r="N6" i="18"/>
  <c r="O6" i="18"/>
  <c r="C5" i="18"/>
  <c r="D6" i="18"/>
  <c r="E6" i="18"/>
  <c r="I8" i="18"/>
  <c r="F6" i="18"/>
  <c r="F5" i="18" s="1"/>
  <c r="F88" i="10"/>
  <c r="C88" i="10"/>
  <c r="F86" i="10"/>
  <c r="C86" i="10"/>
  <c r="F85" i="10"/>
  <c r="C85" i="10"/>
  <c r="F84" i="10"/>
  <c r="C84" i="10"/>
  <c r="F83" i="10"/>
  <c r="C83" i="10"/>
  <c r="F90" i="10"/>
  <c r="C90" i="10"/>
  <c r="F82" i="10"/>
  <c r="C82" i="10"/>
  <c r="C87" i="10"/>
  <c r="F87" i="10"/>
  <c r="C89" i="10"/>
  <c r="F89" i="10"/>
  <c r="C81" i="10"/>
  <c r="F81" i="10"/>
  <c r="B261" i="3"/>
  <c r="V8" i="18"/>
  <c r="S6" i="18"/>
  <c r="G6" i="18"/>
  <c r="Y6" i="18"/>
  <c r="ED26" i="1"/>
  <c r="EE26" i="1"/>
  <c r="ED32" i="1"/>
  <c r="EE32" i="1"/>
  <c r="ED23" i="1"/>
  <c r="EE23" i="1"/>
  <c r="E8" i="18"/>
  <c r="U8" i="18"/>
  <c r="D8" i="18"/>
  <c r="AB8" i="18"/>
  <c r="T8" i="18"/>
  <c r="H8" i="18"/>
  <c r="J8" i="18"/>
  <c r="Z8" i="18"/>
  <c r="O8" i="18"/>
  <c r="N8" i="18"/>
  <c r="Y5" i="18" l="1"/>
  <c r="Z6" i="18"/>
  <c r="AB6" i="18"/>
  <c r="AA6" i="18"/>
  <c r="AC6" i="18"/>
  <c r="AI6" i="18"/>
  <c r="AH6" i="18"/>
  <c r="G5" i="18"/>
  <c r="K6" i="18"/>
  <c r="J6" i="18"/>
  <c r="H6" i="18"/>
  <c r="I6" i="18"/>
  <c r="Q6" i="18"/>
  <c r="P6" i="18"/>
  <c r="S5" i="18"/>
  <c r="U6" i="18"/>
  <c r="W6" i="18"/>
  <c r="V6" i="18"/>
  <c r="T6" i="18"/>
  <c r="O61" i="3"/>
  <c r="O62" i="3"/>
  <c r="O63" i="3"/>
  <c r="B63" i="3" s="1"/>
  <c r="O64" i="3"/>
  <c r="B64" i="3" s="1"/>
  <c r="O65" i="3"/>
  <c r="B65" i="3" s="1"/>
  <c r="O66" i="3"/>
  <c r="B66" i="3" s="1"/>
  <c r="O67" i="3"/>
  <c r="B67" i="3" s="1"/>
  <c r="O68" i="3"/>
  <c r="B68" i="3" s="1"/>
  <c r="O69" i="3"/>
  <c r="B69" i="3" s="1"/>
  <c r="O70" i="3"/>
  <c r="B70" i="3" s="1"/>
  <c r="O71" i="3"/>
  <c r="B71" i="3" s="1"/>
  <c r="O72" i="3"/>
  <c r="B72" i="3" s="1"/>
  <c r="O73" i="3"/>
  <c r="O140" i="3"/>
  <c r="O141" i="3"/>
  <c r="B141" i="3" s="1"/>
  <c r="O142" i="3"/>
  <c r="B142" i="3" s="1"/>
  <c r="O143" i="3"/>
  <c r="B143" i="3" s="1"/>
  <c r="O144" i="3"/>
  <c r="B144" i="3" s="1"/>
  <c r="O145" i="3"/>
  <c r="B145" i="3" s="1"/>
  <c r="O146" i="3"/>
  <c r="B146" i="3" s="1"/>
  <c r="O147" i="3"/>
  <c r="B147" i="3" s="1"/>
  <c r="O148" i="3"/>
  <c r="B148" i="3" s="1"/>
  <c r="O149" i="3"/>
  <c r="B149" i="3" s="1"/>
  <c r="O150" i="3"/>
  <c r="B150" i="3" s="1"/>
  <c r="O151" i="3"/>
  <c r="B151" i="3" s="1"/>
  <c r="O152" i="3"/>
  <c r="O221" i="3"/>
  <c r="O222" i="3"/>
  <c r="B222" i="3" s="1"/>
  <c r="O223" i="3"/>
  <c r="B223" i="3" s="1"/>
  <c r="O224" i="3"/>
  <c r="B224" i="3" s="1"/>
  <c r="O225" i="3"/>
  <c r="B225" i="3" s="1"/>
  <c r="O226" i="3"/>
  <c r="B226" i="3" s="1"/>
  <c r="O227" i="3"/>
  <c r="B227" i="3" s="1"/>
  <c r="O228" i="3"/>
  <c r="B228" i="3" s="1"/>
  <c r="O229" i="3"/>
  <c r="B229" i="3" s="1"/>
  <c r="O230" i="3"/>
  <c r="B230" i="3" s="1"/>
  <c r="O231" i="3"/>
  <c r="B231" i="3" s="1"/>
  <c r="O232" i="3"/>
  <c r="B232" i="3" s="1"/>
  <c r="O233" i="3"/>
  <c r="O377" i="3"/>
  <c r="B377" i="3" s="1"/>
  <c r="O378" i="3"/>
  <c r="B378" i="3" s="1"/>
  <c r="O379" i="3"/>
  <c r="B379" i="3" s="1"/>
  <c r="O380" i="3"/>
  <c r="B380" i="3" s="1"/>
  <c r="O381" i="3"/>
  <c r="B381" i="3" s="1"/>
  <c r="O382" i="3"/>
  <c r="B382" i="3" s="1"/>
  <c r="O383" i="3"/>
  <c r="B383" i="3" s="1"/>
  <c r="O384" i="3"/>
  <c r="B384" i="3" s="1"/>
  <c r="O385" i="3"/>
  <c r="B385" i="3" s="1"/>
  <c r="O386" i="3"/>
  <c r="B386" i="3" s="1"/>
  <c r="O387" i="3"/>
  <c r="B387" i="3" s="1"/>
  <c r="O388" i="3"/>
  <c r="O376" i="3"/>
  <c r="B52" i="17" a="1"/>
  <c r="B55" i="17" a="1"/>
  <c r="B49" i="17" a="1"/>
  <c r="B53" i="17" a="1"/>
  <c r="B50" i="17" a="1"/>
  <c r="B56" i="17" a="1"/>
  <c r="G152" i="10" l="1"/>
  <c r="B56" i="17"/>
  <c r="G49" i="17" s="1"/>
  <c r="H152" i="10"/>
  <c r="D352" i="10"/>
  <c r="B52" i="17"/>
  <c r="F48" i="17" s="1"/>
  <c r="B50" i="17"/>
  <c r="G47" i="17" s="1"/>
  <c r="B49" i="17"/>
  <c r="F47" i="17" s="1"/>
  <c r="B53" i="17"/>
  <c r="G48" i="17" s="1"/>
  <c r="B55" i="17"/>
  <c r="F49" i="17" s="1"/>
  <c r="F152" i="10"/>
  <c r="DA18" i="2"/>
  <c r="O2" i="19" s="1"/>
  <c r="CL10" i="2"/>
  <c r="CK10" i="2"/>
  <c r="CJ10" i="2"/>
  <c r="CI10" i="2"/>
  <c r="CH10" i="2"/>
  <c r="CG10" i="2"/>
  <c r="CF10" i="2"/>
  <c r="CE10" i="2"/>
  <c r="CD10" i="2"/>
  <c r="CC10" i="2"/>
  <c r="CB10" i="2"/>
  <c r="J273" i="10" l="1"/>
  <c r="DA38" i="2"/>
  <c r="DA35" i="2"/>
  <c r="DA32" i="2"/>
  <c r="DA29" i="2"/>
  <c r="DA26" i="2"/>
  <c r="DA12" i="2"/>
  <c r="DA11" i="2" s="1"/>
  <c r="CO35" i="2"/>
  <c r="CO18" i="2"/>
  <c r="CO12" i="2"/>
  <c r="EC7" i="1"/>
  <c r="EC8" i="1"/>
  <c r="EC9" i="1"/>
  <c r="EC10" i="1"/>
  <c r="EC11" i="1"/>
  <c r="EC13" i="1"/>
  <c r="M14" i="19" s="1"/>
  <c r="EC14" i="1"/>
  <c r="M15" i="19" s="1"/>
  <c r="EC15" i="1"/>
  <c r="M16" i="19" s="1"/>
  <c r="EC16" i="1"/>
  <c r="M17" i="19" s="1"/>
  <c r="EC17" i="1"/>
  <c r="M18" i="19" s="1"/>
  <c r="EC18" i="1"/>
  <c r="M19" i="19" s="1"/>
  <c r="EC19" i="1"/>
  <c r="M20" i="19" s="1"/>
  <c r="EC21" i="1"/>
  <c r="EC22" i="1"/>
  <c r="EC24" i="1"/>
  <c r="EC25" i="1"/>
  <c r="EC27" i="1"/>
  <c r="EC28" i="1"/>
  <c r="EC30" i="1"/>
  <c r="EC31" i="1"/>
  <c r="EC33" i="1"/>
  <c r="EC34" i="1"/>
  <c r="CM38" i="2"/>
  <c r="CM35" i="2"/>
  <c r="CM32" i="2"/>
  <c r="CM29" i="2"/>
  <c r="CM26" i="2"/>
  <c r="CM18" i="2"/>
  <c r="CM12" i="2"/>
  <c r="E351" i="10"/>
  <c r="B205" i="10"/>
  <c r="B643" i="10"/>
  <c r="E205" i="10"/>
  <c r="E643" i="10"/>
  <c r="B112" i="3"/>
  <c r="B34" i="3"/>
  <c r="C163" i="10"/>
  <c r="B351" i="10"/>
  <c r="B347" i="3"/>
  <c r="B192" i="3"/>
  <c r="B73" i="3" l="1"/>
  <c r="B233" i="3"/>
  <c r="B388" i="3"/>
  <c r="B152" i="3"/>
  <c r="D24" i="3"/>
  <c r="D63" i="3" s="1"/>
  <c r="D32" i="3"/>
  <c r="D71" i="3" s="1"/>
  <c r="D25" i="3"/>
  <c r="D64" i="3" s="1"/>
  <c r="D33" i="3"/>
  <c r="D72" i="3" s="1"/>
  <c r="D26" i="3"/>
  <c r="D65" i="3" s="1"/>
  <c r="D34" i="3"/>
  <c r="D73" i="3" s="1"/>
  <c r="D27" i="3"/>
  <c r="D66" i="3" s="1"/>
  <c r="D23" i="3"/>
  <c r="D62" i="3" s="1"/>
  <c r="D28" i="3"/>
  <c r="D67" i="3" s="1"/>
  <c r="D30" i="3"/>
  <c r="D69" i="3" s="1"/>
  <c r="D29" i="3"/>
  <c r="D68" i="3" s="1"/>
  <c r="D31" i="3"/>
  <c r="D70" i="3" s="1"/>
  <c r="D188" i="3"/>
  <c r="D229" i="3" s="1"/>
  <c r="D182" i="3"/>
  <c r="D223" i="3" s="1"/>
  <c r="D190" i="3"/>
  <c r="D231" i="3" s="1"/>
  <c r="D189" i="3"/>
  <c r="D230" i="3" s="1"/>
  <c r="D183" i="3"/>
  <c r="D224" i="3" s="1"/>
  <c r="D191" i="3"/>
  <c r="D232" i="3" s="1"/>
  <c r="D186" i="3"/>
  <c r="D227" i="3" s="1"/>
  <c r="D184" i="3"/>
  <c r="D225" i="3" s="1"/>
  <c r="D192" i="3"/>
  <c r="D233" i="3" s="1"/>
  <c r="D185" i="3"/>
  <c r="D226" i="3" s="1"/>
  <c r="D181" i="3"/>
  <c r="D222" i="3" s="1"/>
  <c r="D187" i="3"/>
  <c r="D228" i="3" s="1"/>
  <c r="D343" i="3"/>
  <c r="D384" i="3" s="1"/>
  <c r="D344" i="3"/>
  <c r="D385" i="3" s="1"/>
  <c r="D337" i="3"/>
  <c r="D378" i="3" s="1"/>
  <c r="D345" i="3"/>
  <c r="D386" i="3" s="1"/>
  <c r="D338" i="3"/>
  <c r="D379" i="3" s="1"/>
  <c r="D346" i="3"/>
  <c r="D387" i="3" s="1"/>
  <c r="D341" i="3"/>
  <c r="D382" i="3" s="1"/>
  <c r="D342" i="3"/>
  <c r="D383" i="3" s="1"/>
  <c r="D339" i="3"/>
  <c r="D380" i="3" s="1"/>
  <c r="D347" i="3"/>
  <c r="D388" i="3" s="1"/>
  <c r="D340" i="3"/>
  <c r="D381" i="3" s="1"/>
  <c r="D336" i="3"/>
  <c r="D377" i="3" s="1"/>
  <c r="D108" i="3"/>
  <c r="D148" i="3" s="1"/>
  <c r="D102" i="3"/>
  <c r="D142" i="3" s="1"/>
  <c r="D110" i="3"/>
  <c r="D150" i="3" s="1"/>
  <c r="D109" i="3"/>
  <c r="D149" i="3" s="1"/>
  <c r="D103" i="3"/>
  <c r="D143" i="3" s="1"/>
  <c r="D111" i="3"/>
  <c r="D151" i="3" s="1"/>
  <c r="D106" i="3"/>
  <c r="D146" i="3" s="1"/>
  <c r="D107" i="3"/>
  <c r="D147" i="3" s="1"/>
  <c r="D104" i="3"/>
  <c r="D144" i="3" s="1"/>
  <c r="D112" i="3"/>
  <c r="D152" i="3" s="1"/>
  <c r="D105" i="3"/>
  <c r="D145" i="3" s="1"/>
  <c r="D101" i="3"/>
  <c r="D141" i="3" s="1"/>
  <c r="H163" i="10"/>
  <c r="ED12" i="1"/>
  <c r="B2" i="19" s="1"/>
  <c r="EE12" i="1"/>
  <c r="C2" i="19" s="1"/>
  <c r="ED29" i="1"/>
  <c r="EE29" i="1"/>
  <c r="ED6" i="1"/>
  <c r="EE6" i="1"/>
  <c r="CO11" i="2"/>
  <c r="EC6" i="1"/>
  <c r="DA9" i="2"/>
  <c r="CM11" i="2"/>
  <c r="C6" i="10"/>
  <c r="C7" i="10"/>
  <c r="B17" i="10"/>
  <c r="F7" i="10"/>
  <c r="B23" i="3"/>
  <c r="F6" i="10"/>
  <c r="N2" i="19" l="1"/>
  <c r="R2" i="19" s="1"/>
  <c r="C79" i="10"/>
  <c r="F80" i="10"/>
  <c r="F79" i="10"/>
  <c r="C80" i="10"/>
  <c r="B62" i="3"/>
  <c r="ED5" i="1"/>
  <c r="EE5" i="1"/>
  <c r="CO9" i="2"/>
  <c r="CO8" i="2" s="1"/>
  <c r="CO5" i="2" s="1"/>
  <c r="CM9" i="2"/>
  <c r="S2" i="19" l="1"/>
  <c r="AB2" i="19"/>
  <c r="AC2" i="19"/>
  <c r="AA2" i="19"/>
  <c r="Z2" i="19"/>
  <c r="Y2" i="19"/>
  <c r="X2" i="19"/>
  <c r="W2" i="19"/>
  <c r="V2" i="19"/>
  <c r="U2" i="19"/>
  <c r="T2" i="19"/>
  <c r="CM8" i="2"/>
  <c r="CM5" i="2" s="1"/>
  <c r="CL35" i="2"/>
  <c r="EC29" i="1" s="1"/>
  <c r="CK35" i="2"/>
  <c r="AD2" i="19" l="1"/>
  <c r="EB7" i="1"/>
  <c r="EB8" i="1"/>
  <c r="EB9" i="1"/>
  <c r="EB10" i="1"/>
  <c r="EB11" i="1"/>
  <c r="EB13" i="1"/>
  <c r="L14" i="19" s="1"/>
  <c r="EB14" i="1"/>
  <c r="L15" i="19" s="1"/>
  <c r="EB15" i="1"/>
  <c r="L16" i="19" s="1"/>
  <c r="EB16" i="1"/>
  <c r="L17" i="19" s="1"/>
  <c r="EB17" i="1"/>
  <c r="L18" i="19" s="1"/>
  <c r="EB18" i="1"/>
  <c r="L19" i="19" s="1"/>
  <c r="EB19" i="1"/>
  <c r="L20" i="19" s="1"/>
  <c r="EB21" i="1"/>
  <c r="EB22" i="1"/>
  <c r="EB24" i="1"/>
  <c r="EB25" i="1"/>
  <c r="EB27" i="1"/>
  <c r="EB28" i="1"/>
  <c r="EB29" i="1"/>
  <c r="EB30" i="1"/>
  <c r="EB31" i="1"/>
  <c r="EB33" i="1"/>
  <c r="EB34" i="1"/>
  <c r="CL38" i="2"/>
  <c r="B642" i="10"/>
  <c r="B350" i="10"/>
  <c r="E642" i="10"/>
  <c r="E204" i="10"/>
  <c r="B204" i="10"/>
  <c r="C162" i="10"/>
  <c r="E350" i="10"/>
  <c r="H162" i="10" l="1"/>
  <c r="EC32" i="1"/>
  <c r="EB6" i="1"/>
  <c r="CL29" i="2"/>
  <c r="CL32" i="2"/>
  <c r="CL26" i="2"/>
  <c r="EC20" i="1" s="1"/>
  <c r="B16" i="10"/>
  <c r="EC26" i="1" l="1"/>
  <c r="EC23" i="1"/>
  <c r="CL18" i="2"/>
  <c r="EC12" i="1" s="1"/>
  <c r="M13" i="19" s="1"/>
  <c r="CL12" i="2"/>
  <c r="E17" i="10"/>
  <c r="EC5" i="1" l="1"/>
  <c r="CL11" i="2"/>
  <c r="CL9" i="2" l="1"/>
  <c r="CL8" i="2" s="1"/>
  <c r="CL5" i="2" s="1"/>
  <c r="EA7" i="1" l="1"/>
  <c r="EA8" i="1"/>
  <c r="EA9" i="1"/>
  <c r="EA10" i="1"/>
  <c r="EA11" i="1"/>
  <c r="EA13" i="1"/>
  <c r="K14" i="19" s="1"/>
  <c r="EA14" i="1"/>
  <c r="K15" i="19" s="1"/>
  <c r="EA15" i="1"/>
  <c r="K16" i="19" s="1"/>
  <c r="EA16" i="1"/>
  <c r="K17" i="19" s="1"/>
  <c r="EA17" i="1"/>
  <c r="K18" i="19" s="1"/>
  <c r="EA18" i="1"/>
  <c r="K19" i="19" s="1"/>
  <c r="EA19" i="1"/>
  <c r="K20" i="19" s="1"/>
  <c r="EA21" i="1"/>
  <c r="EA22" i="1"/>
  <c r="EA24" i="1"/>
  <c r="EA25" i="1"/>
  <c r="EA27" i="1"/>
  <c r="EA28" i="1"/>
  <c r="EA30" i="1"/>
  <c r="EA31" i="1"/>
  <c r="EA33" i="1"/>
  <c r="EA34" i="1"/>
  <c r="CK32" i="2"/>
  <c r="CK29" i="2"/>
  <c r="CK26" i="2"/>
  <c r="EB20" i="1" s="1"/>
  <c r="CK38" i="2"/>
  <c r="CK18" i="2"/>
  <c r="EB12" i="1" s="1"/>
  <c r="L13" i="19" s="1"/>
  <c r="CK12" i="2"/>
  <c r="B349" i="10"/>
  <c r="B641" i="10"/>
  <c r="E641" i="10"/>
  <c r="E349" i="10"/>
  <c r="E203" i="10"/>
  <c r="E16" i="10"/>
  <c r="C161" i="10"/>
  <c r="B203" i="10"/>
  <c r="H161" i="10" l="1"/>
  <c r="EB5" i="1"/>
  <c r="EB23" i="1"/>
  <c r="EB26" i="1"/>
  <c r="EB32" i="1"/>
  <c r="EA6" i="1"/>
  <c r="CK11" i="2"/>
  <c r="DZ11" i="1"/>
  <c r="B15" i="10"/>
  <c r="CK9" i="2" l="1"/>
  <c r="CK8" i="2" s="1"/>
  <c r="CK5" i="2" s="1"/>
  <c r="CJ38" i="2"/>
  <c r="CJ35" i="2"/>
  <c r="EA29" i="1" s="1"/>
  <c r="DZ7" i="1"/>
  <c r="DZ8" i="1"/>
  <c r="DZ9" i="1"/>
  <c r="DZ10" i="1"/>
  <c r="DZ13" i="1"/>
  <c r="J14" i="19" s="1"/>
  <c r="DZ14" i="1"/>
  <c r="J15" i="19" s="1"/>
  <c r="DZ15" i="1"/>
  <c r="J16" i="19" s="1"/>
  <c r="DZ16" i="1"/>
  <c r="J17" i="19" s="1"/>
  <c r="DZ17" i="1"/>
  <c r="J18" i="19" s="1"/>
  <c r="DZ18" i="1"/>
  <c r="J19" i="19" s="1"/>
  <c r="DZ19" i="1"/>
  <c r="J20" i="19" s="1"/>
  <c r="DZ21" i="1"/>
  <c r="DZ22" i="1"/>
  <c r="DZ24" i="1"/>
  <c r="DZ25" i="1"/>
  <c r="DZ27" i="1"/>
  <c r="DZ28" i="1"/>
  <c r="DZ30" i="1"/>
  <c r="DZ31" i="1"/>
  <c r="DZ33" i="1"/>
  <c r="DZ34" i="1"/>
  <c r="CJ18" i="2"/>
  <c r="EA12" i="1" s="1"/>
  <c r="K13" i="19" s="1"/>
  <c r="CJ12" i="2"/>
  <c r="B640" i="10"/>
  <c r="B202" i="10"/>
  <c r="C160" i="10"/>
  <c r="E15" i="10"/>
  <c r="E348" i="10"/>
  <c r="E202" i="10"/>
  <c r="B348" i="10"/>
  <c r="E640" i="10"/>
  <c r="H160" i="10" l="1"/>
  <c r="EA5" i="1"/>
  <c r="EA32" i="1"/>
  <c r="DZ6" i="1"/>
  <c r="CJ11" i="2"/>
  <c r="CJ32" i="2"/>
  <c r="CJ29" i="2"/>
  <c r="CJ26" i="2"/>
  <c r="EA20" i="1" s="1"/>
  <c r="DY7" i="1"/>
  <c r="DY8" i="1"/>
  <c r="DY9" i="1"/>
  <c r="DY10" i="1"/>
  <c r="DY11" i="1"/>
  <c r="DY13" i="1"/>
  <c r="I14" i="19" s="1"/>
  <c r="DY14" i="1"/>
  <c r="I15" i="19" s="1"/>
  <c r="DY15" i="1"/>
  <c r="I16" i="19" s="1"/>
  <c r="DY16" i="1"/>
  <c r="I17" i="19" s="1"/>
  <c r="DY17" i="1"/>
  <c r="I18" i="19" s="1"/>
  <c r="DY18" i="1"/>
  <c r="I19" i="19" s="1"/>
  <c r="DY19" i="1"/>
  <c r="I20" i="19" s="1"/>
  <c r="DY21" i="1"/>
  <c r="DY22" i="1"/>
  <c r="DY24" i="1"/>
  <c r="DY25" i="1"/>
  <c r="DY27" i="1"/>
  <c r="DY28" i="1"/>
  <c r="DY30" i="1"/>
  <c r="DY31" i="1"/>
  <c r="DY33" i="1"/>
  <c r="DY34" i="1"/>
  <c r="B201" i="10"/>
  <c r="E201" i="10"/>
  <c r="B14" i="10"/>
  <c r="E347" i="10"/>
  <c r="B347" i="10"/>
  <c r="E639" i="10"/>
  <c r="C159" i="10"/>
  <c r="B639" i="10"/>
  <c r="H159" i="10" l="1"/>
  <c r="EA23" i="1"/>
  <c r="EA26" i="1"/>
  <c r="CJ9" i="2"/>
  <c r="CJ8" i="2" s="1"/>
  <c r="CJ5" i="2" s="1"/>
  <c r="DY6" i="1"/>
  <c r="CI32" i="2"/>
  <c r="CI29" i="2"/>
  <c r="CI26" i="2"/>
  <c r="DZ20" i="1" s="1"/>
  <c r="CI38" i="2"/>
  <c r="CI35" i="2"/>
  <c r="DZ29" i="1" s="1"/>
  <c r="B13" i="10"/>
  <c r="DZ26" i="1" l="1"/>
  <c r="DZ32" i="1"/>
  <c r="DZ23" i="1"/>
  <c r="CI18" i="2"/>
  <c r="DZ12" i="1" s="1"/>
  <c r="J13" i="19" s="1"/>
  <c r="CI12" i="2"/>
  <c r="E14" i="10"/>
  <c r="DZ5" i="1" l="1"/>
  <c r="CI11" i="2"/>
  <c r="CI9" i="2" l="1"/>
  <c r="CI8" i="2" s="1"/>
  <c r="CI5" i="2" s="1"/>
  <c r="DX21" i="1"/>
  <c r="DX22" i="1"/>
  <c r="DX24" i="1"/>
  <c r="DX25" i="1"/>
  <c r="DX27" i="1"/>
  <c r="DX28" i="1"/>
  <c r="DX30" i="1"/>
  <c r="DX31" i="1"/>
  <c r="DX33" i="1"/>
  <c r="DX34" i="1"/>
  <c r="DX13" i="1"/>
  <c r="H14" i="19" s="1"/>
  <c r="DX14" i="1"/>
  <c r="H15" i="19" s="1"/>
  <c r="DX15" i="1"/>
  <c r="H16" i="19" s="1"/>
  <c r="DX16" i="1"/>
  <c r="H17" i="19" s="1"/>
  <c r="DX17" i="1"/>
  <c r="H18" i="19" s="1"/>
  <c r="DX18" i="1"/>
  <c r="H19" i="19" s="1"/>
  <c r="DX19" i="1"/>
  <c r="H20" i="19" s="1"/>
  <c r="DX7" i="1"/>
  <c r="DX8" i="1"/>
  <c r="DX9" i="1"/>
  <c r="DX10" i="1"/>
  <c r="DX11" i="1"/>
  <c r="CH38" i="2"/>
  <c r="CH35" i="2"/>
  <c r="DY29" i="1" s="1"/>
  <c r="CH29" i="2"/>
  <c r="CH32" i="2"/>
  <c r="CH26" i="2"/>
  <c r="DY20" i="1" s="1"/>
  <c r="CH18" i="2"/>
  <c r="DY12" i="1" s="1"/>
  <c r="I13" i="19" s="1"/>
  <c r="CH12" i="2"/>
  <c r="E346" i="10"/>
  <c r="E200" i="10"/>
  <c r="B346" i="10"/>
  <c r="E638" i="10"/>
  <c r="B200" i="10"/>
  <c r="C158" i="10"/>
  <c r="E13" i="10"/>
  <c r="B638" i="10"/>
  <c r="H158" i="10" l="1"/>
  <c r="DY5" i="1"/>
  <c r="DY32" i="1"/>
  <c r="DY26" i="1"/>
  <c r="DY23" i="1"/>
  <c r="CH11" i="2"/>
  <c r="DX6" i="1"/>
  <c r="CN10" i="2"/>
  <c r="B12" i="10"/>
  <c r="CH9" i="2" l="1"/>
  <c r="CH8" i="2" s="1"/>
  <c r="CH5" i="2" s="1"/>
  <c r="AA131" i="17"/>
  <c r="AM131" i="17"/>
  <c r="AY131" i="17"/>
  <c r="BK131" i="17"/>
  <c r="BW133" i="17" s="1"/>
  <c r="O131" i="17"/>
  <c r="AD8" i="2"/>
  <c r="O106" i="17"/>
  <c r="AA106" i="17"/>
  <c r="AM106" i="17"/>
  <c r="AY106" i="17"/>
  <c r="BK106" i="17"/>
  <c r="BW108" i="17" s="1"/>
  <c r="CG29" i="2"/>
  <c r="DW7" i="1"/>
  <c r="DW8" i="1"/>
  <c r="DW9" i="1"/>
  <c r="DW10" i="1"/>
  <c r="DW11" i="1"/>
  <c r="DW13" i="1"/>
  <c r="DW14" i="1"/>
  <c r="G15" i="19" s="1"/>
  <c r="DW15" i="1"/>
  <c r="DW16" i="1"/>
  <c r="G17" i="19" s="1"/>
  <c r="DW17" i="1"/>
  <c r="G18" i="19" s="1"/>
  <c r="DW18" i="1"/>
  <c r="G19" i="19" s="1"/>
  <c r="DW19" i="1"/>
  <c r="G20" i="19" s="1"/>
  <c r="DW21" i="1"/>
  <c r="DW22" i="1"/>
  <c r="DW24" i="1"/>
  <c r="DW25" i="1"/>
  <c r="DW27" i="1"/>
  <c r="DW28" i="1"/>
  <c r="DW30" i="1"/>
  <c r="DW31" i="1"/>
  <c r="DW33" i="1"/>
  <c r="DW34" i="1"/>
  <c r="B199" i="10"/>
  <c r="C157" i="10"/>
  <c r="B345" i="10"/>
  <c r="E199" i="10"/>
  <c r="E345" i="10"/>
  <c r="E637" i="10"/>
  <c r="B637" i="10"/>
  <c r="BP106" i="17" l="1"/>
  <c r="CB108" i="17" s="1"/>
  <c r="G16" i="19"/>
  <c r="BP131" i="17"/>
  <c r="CB133" i="17" s="1"/>
  <c r="G14" i="19"/>
  <c r="H157" i="10"/>
  <c r="DX23" i="1"/>
  <c r="DW6" i="1"/>
  <c r="AA108" i="17"/>
  <c r="BK108" i="17"/>
  <c r="AM108" i="17"/>
  <c r="AM133" i="17"/>
  <c r="BK133" i="17"/>
  <c r="AY133" i="17"/>
  <c r="AY108" i="17"/>
  <c r="AA133" i="17"/>
  <c r="CG38" i="2"/>
  <c r="CG35" i="2"/>
  <c r="DX29" i="1" s="1"/>
  <c r="CG32" i="2"/>
  <c r="CG26" i="2"/>
  <c r="DX20" i="1" s="1"/>
  <c r="CG18" i="2"/>
  <c r="DX12" i="1" s="1"/>
  <c r="H13" i="19" s="1"/>
  <c r="CG12" i="2"/>
  <c r="B11" i="10"/>
  <c r="E12" i="10"/>
  <c r="DX5" i="1" l="1"/>
  <c r="DX32" i="1"/>
  <c r="DX26" i="1"/>
  <c r="CG11" i="2"/>
  <c r="CG9" i="2" l="1"/>
  <c r="CG8" i="2" s="1"/>
  <c r="CG5" i="2" s="1"/>
  <c r="DV7" i="1"/>
  <c r="DV8" i="1"/>
  <c r="DV9" i="1"/>
  <c r="DV10" i="1"/>
  <c r="DV11" i="1"/>
  <c r="DV13" i="1"/>
  <c r="DV14" i="1"/>
  <c r="F15" i="19" s="1"/>
  <c r="DV15" i="1"/>
  <c r="DV16" i="1"/>
  <c r="F17" i="19" s="1"/>
  <c r="DV17" i="1"/>
  <c r="F18" i="19" s="1"/>
  <c r="DV18" i="1"/>
  <c r="F19" i="19" s="1"/>
  <c r="DV19" i="1"/>
  <c r="F20" i="19" s="1"/>
  <c r="DV21" i="1"/>
  <c r="DV22" i="1"/>
  <c r="DV24" i="1"/>
  <c r="DV25" i="1"/>
  <c r="DV27" i="1"/>
  <c r="DV28" i="1"/>
  <c r="DV30" i="1"/>
  <c r="DV31" i="1"/>
  <c r="DV33" i="1"/>
  <c r="DV34" i="1"/>
  <c r="C156" i="10"/>
  <c r="E636" i="10"/>
  <c r="B198" i="10"/>
  <c r="E344" i="10"/>
  <c r="E198" i="10"/>
  <c r="B344" i="10"/>
  <c r="B636" i="10"/>
  <c r="BO106" i="17" l="1"/>
  <c r="CA108" i="17" s="1"/>
  <c r="F16" i="19"/>
  <c r="BO131" i="17"/>
  <c r="CA133" i="17" s="1"/>
  <c r="F14" i="19"/>
  <c r="H156" i="10"/>
  <c r="DV6" i="1"/>
  <c r="CF38" i="2"/>
  <c r="CF35" i="2"/>
  <c r="DW29" i="1" s="1"/>
  <c r="CF32" i="2"/>
  <c r="CF29" i="2"/>
  <c r="CF26" i="2"/>
  <c r="DW20" i="1" s="1"/>
  <c r="CF18" i="2"/>
  <c r="DW12" i="1" s="1"/>
  <c r="G13" i="19" s="1"/>
  <c r="CF12" i="2"/>
  <c r="DU7" i="1"/>
  <c r="DU8" i="1"/>
  <c r="DU9" i="1"/>
  <c r="DU10" i="1"/>
  <c r="DU11" i="1"/>
  <c r="DU13" i="1"/>
  <c r="DU14" i="1"/>
  <c r="E15" i="19" s="1"/>
  <c r="DU15" i="1"/>
  <c r="DU16" i="1"/>
  <c r="E17" i="19" s="1"/>
  <c r="DU17" i="1"/>
  <c r="E18" i="19" s="1"/>
  <c r="DU18" i="1"/>
  <c r="E19" i="19" s="1"/>
  <c r="DU19" i="1"/>
  <c r="E20" i="19" s="1"/>
  <c r="DU21" i="1"/>
  <c r="DU22" i="1"/>
  <c r="DU24" i="1"/>
  <c r="DU25" i="1"/>
  <c r="DU27" i="1"/>
  <c r="DU28" i="1"/>
  <c r="DU30" i="1"/>
  <c r="DU31" i="1"/>
  <c r="DU33" i="1"/>
  <c r="DU34" i="1"/>
  <c r="CE38" i="2"/>
  <c r="CE35" i="2"/>
  <c r="CE32" i="2"/>
  <c r="CE29" i="2"/>
  <c r="CE26" i="2"/>
  <c r="CE18" i="2"/>
  <c r="CE12" i="2"/>
  <c r="E197" i="10"/>
  <c r="E635" i="10"/>
  <c r="B635" i="10"/>
  <c r="E11" i="10"/>
  <c r="E343" i="10"/>
  <c r="B197" i="10"/>
  <c r="C155" i="10"/>
  <c r="B343" i="10"/>
  <c r="B10" i="10"/>
  <c r="BN131" i="17" l="1"/>
  <c r="BZ133" i="17" s="1"/>
  <c r="E14" i="19"/>
  <c r="BN106" i="17"/>
  <c r="BZ108" i="17" s="1"/>
  <c r="E16" i="19"/>
  <c r="H155" i="10"/>
  <c r="DW5" i="1"/>
  <c r="DW32" i="1"/>
  <c r="DW23" i="1"/>
  <c r="CF11" i="2"/>
  <c r="DV26" i="1"/>
  <c r="DW26" i="1"/>
  <c r="DV29" i="1"/>
  <c r="DV20" i="1"/>
  <c r="DV32" i="1"/>
  <c r="DV12" i="1"/>
  <c r="F13" i="19" s="1"/>
  <c r="DV23" i="1"/>
  <c r="DU6" i="1"/>
  <c r="CE11" i="2"/>
  <c r="B9" i="10"/>
  <c r="E10" i="10"/>
  <c r="DV5" i="1" l="1"/>
  <c r="CF9" i="2"/>
  <c r="CF8" i="2" s="1"/>
  <c r="CF5" i="2" s="1"/>
  <c r="CE9" i="2"/>
  <c r="DT7" i="1"/>
  <c r="DT8" i="1"/>
  <c r="DT9" i="1"/>
  <c r="DT10" i="1"/>
  <c r="DT11" i="1"/>
  <c r="DT13" i="1"/>
  <c r="DT14" i="1"/>
  <c r="D15" i="19" s="1"/>
  <c r="DT15" i="1"/>
  <c r="DT16" i="1"/>
  <c r="D17" i="19" s="1"/>
  <c r="DT17" i="1"/>
  <c r="D18" i="19" s="1"/>
  <c r="DT18" i="1"/>
  <c r="D19" i="19" s="1"/>
  <c r="DT19" i="1"/>
  <c r="D20" i="19" s="1"/>
  <c r="DT21" i="1"/>
  <c r="DT22" i="1"/>
  <c r="DT24" i="1"/>
  <c r="DT25" i="1"/>
  <c r="DT27" i="1"/>
  <c r="DT28" i="1"/>
  <c r="DT30" i="1"/>
  <c r="DT31" i="1"/>
  <c r="DT33" i="1"/>
  <c r="DT34" i="1"/>
  <c r="CD38" i="2"/>
  <c r="CD35" i="2"/>
  <c r="CD32" i="2"/>
  <c r="CD29" i="2"/>
  <c r="CD26" i="2"/>
  <c r="CD18" i="2"/>
  <c r="CD12" i="2"/>
  <c r="DS34" i="1"/>
  <c r="DS33" i="1"/>
  <c r="DS31" i="1"/>
  <c r="DS30" i="1"/>
  <c r="DS28" i="1"/>
  <c r="DS27" i="1"/>
  <c r="DS25" i="1"/>
  <c r="DS24" i="1"/>
  <c r="DS22" i="1"/>
  <c r="DS21" i="1"/>
  <c r="DS19" i="1"/>
  <c r="C20" i="19" s="1"/>
  <c r="DS18" i="1"/>
  <c r="C19" i="19" s="1"/>
  <c r="DS17" i="1"/>
  <c r="C18" i="19" s="1"/>
  <c r="DS16" i="1"/>
  <c r="C17" i="19" s="1"/>
  <c r="DS15" i="1"/>
  <c r="DS14" i="1"/>
  <c r="C15" i="19" s="1"/>
  <c r="DS13" i="1"/>
  <c r="DS11" i="1"/>
  <c r="DS10" i="1"/>
  <c r="DS9" i="1"/>
  <c r="DS8" i="1"/>
  <c r="DS7" i="1"/>
  <c r="CC38" i="2"/>
  <c r="CC35" i="2"/>
  <c r="CC32" i="2"/>
  <c r="CC29" i="2"/>
  <c r="CC26" i="2"/>
  <c r="CC18" i="2"/>
  <c r="CC12" i="2"/>
  <c r="CB38" i="2"/>
  <c r="CB35" i="2"/>
  <c r="CB32" i="2"/>
  <c r="CB29" i="2"/>
  <c r="CB26" i="2"/>
  <c r="CB18" i="2"/>
  <c r="CB12" i="2"/>
  <c r="CN26" i="2"/>
  <c r="E195" i="10"/>
  <c r="C154" i="10"/>
  <c r="E633" i="10"/>
  <c r="B342" i="10"/>
  <c r="C153" i="10"/>
  <c r="E341" i="10"/>
  <c r="B196" i="10"/>
  <c r="E634" i="10"/>
  <c r="E342" i="10"/>
  <c r="B633" i="10"/>
  <c r="B634" i="10"/>
  <c r="B195" i="10"/>
  <c r="E196" i="10"/>
  <c r="B341" i="10"/>
  <c r="N17" i="19" l="1"/>
  <c r="S17" i="19" s="1"/>
  <c r="N18" i="19"/>
  <c r="S18" i="19" s="1"/>
  <c r="N19" i="19"/>
  <c r="S19" i="19" s="1"/>
  <c r="BL131" i="17"/>
  <c r="BX133" i="17" s="1"/>
  <c r="C14" i="19"/>
  <c r="BM131" i="17"/>
  <c r="BY133" i="17" s="1"/>
  <c r="D14" i="19"/>
  <c r="N20" i="19"/>
  <c r="S20" i="19" s="1"/>
  <c r="BM106" i="17"/>
  <c r="BY108" i="17" s="1"/>
  <c r="D16" i="19"/>
  <c r="N15" i="19"/>
  <c r="S15" i="19" s="1"/>
  <c r="BL106" i="17"/>
  <c r="BX108" i="17" s="1"/>
  <c r="C16" i="19"/>
  <c r="H153" i="10"/>
  <c r="H154" i="10"/>
  <c r="C352" i="10"/>
  <c r="CE8" i="2"/>
  <c r="CE5" i="2" s="1"/>
  <c r="CD11" i="2"/>
  <c r="DU32" i="1"/>
  <c r="DT20" i="1"/>
  <c r="DU20" i="1"/>
  <c r="DT26" i="1"/>
  <c r="DU26" i="1"/>
  <c r="CC11" i="2"/>
  <c r="DS20" i="1"/>
  <c r="DT12" i="1"/>
  <c r="D13" i="19" s="1"/>
  <c r="DU12" i="1"/>
  <c r="E13" i="19" s="1"/>
  <c r="DT23" i="1"/>
  <c r="DU23" i="1"/>
  <c r="DT29" i="1"/>
  <c r="DU29" i="1"/>
  <c r="DT6" i="1"/>
  <c r="DS23" i="1"/>
  <c r="DS26" i="1"/>
  <c r="DS29" i="1"/>
  <c r="DS32" i="1"/>
  <c r="DT32" i="1"/>
  <c r="CB11" i="2"/>
  <c r="CB9" i="2" s="1"/>
  <c r="DS12" i="1"/>
  <c r="C13" i="19" s="1"/>
  <c r="DS6" i="1"/>
  <c r="DQ7" i="1"/>
  <c r="DQ8" i="1"/>
  <c r="DQ9" i="1"/>
  <c r="DQ10" i="1"/>
  <c r="DQ11" i="1"/>
  <c r="DQ13" i="1"/>
  <c r="DQ14" i="1"/>
  <c r="M26" i="19" s="1"/>
  <c r="DQ15" i="1"/>
  <c r="DQ16" i="1"/>
  <c r="M28" i="19" s="1"/>
  <c r="DQ17" i="1"/>
  <c r="M29" i="19" s="1"/>
  <c r="DQ18" i="1"/>
  <c r="M30" i="19" s="1"/>
  <c r="DQ19" i="1"/>
  <c r="M31" i="19" s="1"/>
  <c r="DQ21" i="1"/>
  <c r="DQ22" i="1"/>
  <c r="DQ24" i="1"/>
  <c r="DQ25" i="1"/>
  <c r="DQ27" i="1"/>
  <c r="DQ28" i="1"/>
  <c r="DQ30" i="1"/>
  <c r="DQ31" i="1"/>
  <c r="DQ33" i="1"/>
  <c r="DQ34" i="1"/>
  <c r="BZ38" i="2"/>
  <c r="BZ35" i="2"/>
  <c r="BZ32" i="2"/>
  <c r="BZ29" i="2"/>
  <c r="BZ26" i="2"/>
  <c r="BZ18" i="2"/>
  <c r="BZ12" i="2"/>
  <c r="DP7" i="1"/>
  <c r="DP8" i="1"/>
  <c r="DP9" i="1"/>
  <c r="DP10" i="1"/>
  <c r="DP11" i="1"/>
  <c r="DP13" i="1"/>
  <c r="DP14" i="1"/>
  <c r="L26" i="19" s="1"/>
  <c r="DP15" i="1"/>
  <c r="DP16" i="1"/>
  <c r="L28" i="19" s="1"/>
  <c r="DP17" i="1"/>
  <c r="L29" i="19" s="1"/>
  <c r="DP18" i="1"/>
  <c r="L30" i="19" s="1"/>
  <c r="DP19" i="1"/>
  <c r="L31" i="19" s="1"/>
  <c r="DP21" i="1"/>
  <c r="DP22" i="1"/>
  <c r="DP24" i="1"/>
  <c r="DP25" i="1"/>
  <c r="DP27" i="1"/>
  <c r="DP28" i="1"/>
  <c r="DP30" i="1"/>
  <c r="DP31" i="1"/>
  <c r="DP33" i="1"/>
  <c r="DP34" i="1"/>
  <c r="BY32" i="2"/>
  <c r="BY38" i="2"/>
  <c r="BY35" i="2"/>
  <c r="BY26" i="2"/>
  <c r="BY29" i="2"/>
  <c r="BY18" i="2"/>
  <c r="BY12" i="2"/>
  <c r="DO7" i="1"/>
  <c r="DO8" i="1"/>
  <c r="DO9" i="1"/>
  <c r="DO10" i="1"/>
  <c r="DO11" i="1"/>
  <c r="DO13" i="1"/>
  <c r="DO14" i="1"/>
  <c r="K26" i="19" s="1"/>
  <c r="DO15" i="1"/>
  <c r="DO16" i="1"/>
  <c r="K28" i="19" s="1"/>
  <c r="DO17" i="1"/>
  <c r="K29" i="19" s="1"/>
  <c r="DO18" i="1"/>
  <c r="K30" i="19" s="1"/>
  <c r="DO19" i="1"/>
  <c r="K31" i="19" s="1"/>
  <c r="DO21" i="1"/>
  <c r="DO22" i="1"/>
  <c r="DO24" i="1"/>
  <c r="DO25" i="1"/>
  <c r="DO27" i="1"/>
  <c r="DO28" i="1"/>
  <c r="DO30" i="1"/>
  <c r="DO31" i="1"/>
  <c r="DO33" i="1"/>
  <c r="DO34" i="1"/>
  <c r="BX38" i="2"/>
  <c r="BX35" i="2"/>
  <c r="BX32" i="2"/>
  <c r="BX29" i="2"/>
  <c r="BX26" i="2"/>
  <c r="BX18" i="2"/>
  <c r="BX12" i="2"/>
  <c r="B8" i="10"/>
  <c r="E7" i="10"/>
  <c r="E9" i="10"/>
  <c r="B161" i="10"/>
  <c r="B7" i="10"/>
  <c r="B163" i="10"/>
  <c r="B162" i="10"/>
  <c r="E8" i="10"/>
  <c r="N13" i="19" l="1"/>
  <c r="T13" i="19" s="1"/>
  <c r="S13" i="19"/>
  <c r="U19" i="19"/>
  <c r="R19" i="19"/>
  <c r="AC19" i="19"/>
  <c r="AB19" i="19"/>
  <c r="AA19" i="19"/>
  <c r="Z19" i="19"/>
  <c r="Y19" i="19"/>
  <c r="X19" i="19"/>
  <c r="W19" i="19"/>
  <c r="V19" i="19"/>
  <c r="BJ131" i="17"/>
  <c r="BV133" i="17" s="1"/>
  <c r="M25" i="19"/>
  <c r="T19" i="19"/>
  <c r="T18" i="19"/>
  <c r="R18" i="19"/>
  <c r="AC18" i="19"/>
  <c r="AB18" i="19"/>
  <c r="AA18" i="19"/>
  <c r="Z18" i="19"/>
  <c r="Y18" i="19"/>
  <c r="X18" i="19"/>
  <c r="W18" i="19"/>
  <c r="V18" i="19"/>
  <c r="U18" i="19"/>
  <c r="BH131" i="17"/>
  <c r="BT133" i="17" s="1"/>
  <c r="K25" i="19"/>
  <c r="BI106" i="17"/>
  <c r="BU108" i="17" s="1"/>
  <c r="L27" i="19"/>
  <c r="N16" i="19"/>
  <c r="S16" i="19" s="1"/>
  <c r="U13" i="19"/>
  <c r="BI131" i="17"/>
  <c r="BU133" i="17" s="1"/>
  <c r="L25" i="19"/>
  <c r="BH106" i="17"/>
  <c r="BT108" i="17" s="1"/>
  <c r="K27" i="19"/>
  <c r="Z15" i="19"/>
  <c r="R15" i="19"/>
  <c r="AC15" i="19"/>
  <c r="AB15" i="19"/>
  <c r="AA15" i="19"/>
  <c r="Y15" i="19"/>
  <c r="X15" i="19"/>
  <c r="W15" i="19"/>
  <c r="V15" i="19"/>
  <c r="U15" i="19"/>
  <c r="N14" i="19"/>
  <c r="T14" i="19" s="1"/>
  <c r="T17" i="19"/>
  <c r="R17" i="19"/>
  <c r="AC17" i="19"/>
  <c r="AB17" i="19"/>
  <c r="AA17" i="19"/>
  <c r="Z17" i="19"/>
  <c r="Y17" i="19"/>
  <c r="X17" i="19"/>
  <c r="W17" i="19"/>
  <c r="V17" i="19"/>
  <c r="U17" i="19"/>
  <c r="BJ106" i="17"/>
  <c r="BV108" i="17" s="1"/>
  <c r="M27" i="19"/>
  <c r="W20" i="19"/>
  <c r="R20" i="19"/>
  <c r="AC20" i="19"/>
  <c r="AB20" i="19"/>
  <c r="AA20" i="19"/>
  <c r="Z20" i="19"/>
  <c r="Y20" i="19"/>
  <c r="X20" i="19"/>
  <c r="V20" i="19"/>
  <c r="U20" i="19"/>
  <c r="T15" i="19"/>
  <c r="T20" i="19"/>
  <c r="B18" i="10"/>
  <c r="G161" i="10"/>
  <c r="G163" i="10"/>
  <c r="G162" i="10"/>
  <c r="C18" i="10"/>
  <c r="DU5" i="1"/>
  <c r="CB8" i="2"/>
  <c r="CB5" i="2" s="1"/>
  <c r="DT5" i="1"/>
  <c r="BX11" i="2"/>
  <c r="BX9" i="2" s="1"/>
  <c r="CC9" i="2"/>
  <c r="CD9" i="2"/>
  <c r="BZ11" i="2"/>
  <c r="BZ9" i="2" s="1"/>
  <c r="DS5" i="1"/>
  <c r="DP20" i="1"/>
  <c r="DQ32" i="1"/>
  <c r="DP29" i="1"/>
  <c r="DQ20" i="1"/>
  <c r="DQ26" i="1"/>
  <c r="DP23" i="1"/>
  <c r="DQ12" i="1"/>
  <c r="M24" i="19" s="1"/>
  <c r="DP32" i="1"/>
  <c r="DQ29" i="1"/>
  <c r="DP26" i="1"/>
  <c r="BY11" i="2"/>
  <c r="DP12" i="1"/>
  <c r="L24" i="19" s="1"/>
  <c r="DQ23" i="1"/>
  <c r="DQ6" i="1"/>
  <c r="DP6" i="1"/>
  <c r="DO6" i="1"/>
  <c r="DN7" i="1"/>
  <c r="DN8" i="1"/>
  <c r="DN9" i="1"/>
  <c r="DN10" i="1"/>
  <c r="DN11" i="1"/>
  <c r="DN13" i="1"/>
  <c r="DN14" i="1"/>
  <c r="J26" i="19" s="1"/>
  <c r="DN15" i="1"/>
  <c r="DN16" i="1"/>
  <c r="J28" i="19" s="1"/>
  <c r="DN17" i="1"/>
  <c r="J29" i="19" s="1"/>
  <c r="DN18" i="1"/>
  <c r="J30" i="19" s="1"/>
  <c r="DN19" i="1"/>
  <c r="J31" i="19" s="1"/>
  <c r="DN21" i="1"/>
  <c r="DN22" i="1"/>
  <c r="DN24" i="1"/>
  <c r="DN25" i="1"/>
  <c r="DN27" i="1"/>
  <c r="DN28" i="1"/>
  <c r="DN30" i="1"/>
  <c r="DN31" i="1"/>
  <c r="DN33" i="1"/>
  <c r="DN34" i="1"/>
  <c r="BW38" i="2"/>
  <c r="BW35" i="2"/>
  <c r="BW32" i="2"/>
  <c r="BW29" i="2"/>
  <c r="BW26" i="2"/>
  <c r="BW18" i="2"/>
  <c r="BW12" i="2"/>
  <c r="DM7" i="1"/>
  <c r="DM8" i="1"/>
  <c r="DM9" i="1"/>
  <c r="DM10" i="1"/>
  <c r="DM11" i="1"/>
  <c r="DM13" i="1"/>
  <c r="DM14" i="1"/>
  <c r="I26" i="19" s="1"/>
  <c r="DM15" i="1"/>
  <c r="DM16" i="1"/>
  <c r="I28" i="19" s="1"/>
  <c r="DM17" i="1"/>
  <c r="I29" i="19" s="1"/>
  <c r="DM18" i="1"/>
  <c r="I30" i="19" s="1"/>
  <c r="DM19" i="1"/>
  <c r="I31" i="19" s="1"/>
  <c r="DM21" i="1"/>
  <c r="DM22" i="1"/>
  <c r="DM24" i="1"/>
  <c r="DM25" i="1"/>
  <c r="DM27" i="1"/>
  <c r="DM28" i="1"/>
  <c r="DM30" i="1"/>
  <c r="DM31" i="1"/>
  <c r="DM33" i="1"/>
  <c r="DM34" i="1"/>
  <c r="BV38" i="2"/>
  <c r="BV35" i="2"/>
  <c r="BV32" i="2"/>
  <c r="BV26" i="2"/>
  <c r="BV29" i="2"/>
  <c r="BV18" i="2"/>
  <c r="BV12" i="2"/>
  <c r="DL7" i="1"/>
  <c r="DL8" i="1"/>
  <c r="DL9" i="1"/>
  <c r="DL10" i="1"/>
  <c r="DL11" i="1"/>
  <c r="DL13" i="1"/>
  <c r="DL14" i="1"/>
  <c r="H26" i="19" s="1"/>
  <c r="DL15" i="1"/>
  <c r="DL16" i="1"/>
  <c r="H28" i="19" s="1"/>
  <c r="DL17" i="1"/>
  <c r="H29" i="19" s="1"/>
  <c r="DL18" i="1"/>
  <c r="H30" i="19" s="1"/>
  <c r="DL19" i="1"/>
  <c r="H31" i="19" s="1"/>
  <c r="DL21" i="1"/>
  <c r="DL22" i="1"/>
  <c r="DL24" i="1"/>
  <c r="DL25" i="1"/>
  <c r="DL27" i="1"/>
  <c r="DL28" i="1"/>
  <c r="DL30" i="1"/>
  <c r="DL31" i="1"/>
  <c r="DL33" i="1"/>
  <c r="DL34" i="1"/>
  <c r="BU38" i="2"/>
  <c r="BU35" i="2"/>
  <c r="BU32" i="2"/>
  <c r="BU29" i="2"/>
  <c r="BU12" i="2"/>
  <c r="BU26" i="2"/>
  <c r="BU18" i="2"/>
  <c r="DK7" i="1"/>
  <c r="DK8" i="1"/>
  <c r="DK9" i="1"/>
  <c r="DK10" i="1"/>
  <c r="DK11" i="1"/>
  <c r="DK13" i="1"/>
  <c r="DK14" i="1"/>
  <c r="G26" i="19" s="1"/>
  <c r="DK15" i="1"/>
  <c r="DK16" i="1"/>
  <c r="G28" i="19" s="1"/>
  <c r="DK17" i="1"/>
  <c r="G29" i="19" s="1"/>
  <c r="DK18" i="1"/>
  <c r="G30" i="19" s="1"/>
  <c r="DK19" i="1"/>
  <c r="G31" i="19" s="1"/>
  <c r="DK21" i="1"/>
  <c r="DK22" i="1"/>
  <c r="DK24" i="1"/>
  <c r="DK25" i="1"/>
  <c r="DK27" i="1"/>
  <c r="DK28" i="1"/>
  <c r="DK30" i="1"/>
  <c r="DK31" i="1"/>
  <c r="DK33" i="1"/>
  <c r="DK34" i="1"/>
  <c r="BT38" i="2"/>
  <c r="BT35" i="2"/>
  <c r="BT32" i="2"/>
  <c r="BT29" i="2"/>
  <c r="BT26" i="2"/>
  <c r="BT18" i="2"/>
  <c r="BT12" i="2"/>
  <c r="DJ7" i="1"/>
  <c r="DJ8" i="1"/>
  <c r="DJ9" i="1"/>
  <c r="DJ10" i="1"/>
  <c r="DJ11" i="1"/>
  <c r="DJ13" i="1"/>
  <c r="DJ14" i="1"/>
  <c r="F26" i="19" s="1"/>
  <c r="DJ15" i="1"/>
  <c r="DJ16" i="1"/>
  <c r="F28" i="19" s="1"/>
  <c r="DJ17" i="1"/>
  <c r="F29" i="19" s="1"/>
  <c r="DJ18" i="1"/>
  <c r="F30" i="19" s="1"/>
  <c r="DJ19" i="1"/>
  <c r="F31" i="19" s="1"/>
  <c r="DJ21" i="1"/>
  <c r="DJ22" i="1"/>
  <c r="DJ24" i="1"/>
  <c r="DJ25" i="1"/>
  <c r="DJ27" i="1"/>
  <c r="DJ28" i="1"/>
  <c r="DJ30" i="1"/>
  <c r="DJ31" i="1"/>
  <c r="DJ33" i="1"/>
  <c r="DJ34" i="1"/>
  <c r="DI7" i="1"/>
  <c r="BS38" i="2"/>
  <c r="BS35" i="2"/>
  <c r="BS32" i="2"/>
  <c r="BS29" i="2"/>
  <c r="BS26" i="2"/>
  <c r="BS18" i="2"/>
  <c r="BS12" i="2"/>
  <c r="DI33" i="1"/>
  <c r="DI34" i="1"/>
  <c r="DI30" i="1"/>
  <c r="DI31" i="1"/>
  <c r="DI27" i="1"/>
  <c r="DI28" i="1"/>
  <c r="DI24" i="1"/>
  <c r="DI25" i="1"/>
  <c r="DI21" i="1"/>
  <c r="DI22" i="1"/>
  <c r="DI13" i="1"/>
  <c r="DI14" i="1"/>
  <c r="E26" i="19" s="1"/>
  <c r="DI15" i="1"/>
  <c r="DI16" i="1"/>
  <c r="E28" i="19" s="1"/>
  <c r="DI17" i="1"/>
  <c r="E29" i="19" s="1"/>
  <c r="DI18" i="1"/>
  <c r="E30" i="19" s="1"/>
  <c r="DI19" i="1"/>
  <c r="E31" i="19" s="1"/>
  <c r="DI8" i="1"/>
  <c r="DI9" i="1"/>
  <c r="DI10" i="1"/>
  <c r="DI11" i="1"/>
  <c r="BR29" i="2"/>
  <c r="BR38" i="2"/>
  <c r="BR35" i="2"/>
  <c r="BR32" i="2"/>
  <c r="BR26" i="2"/>
  <c r="BR18" i="2"/>
  <c r="BR12" i="2"/>
  <c r="DH7" i="1"/>
  <c r="DH8" i="1"/>
  <c r="DH9" i="1"/>
  <c r="DH10" i="1"/>
  <c r="DH11" i="1"/>
  <c r="DH13" i="1"/>
  <c r="DH14" i="1"/>
  <c r="D26" i="19" s="1"/>
  <c r="DH15" i="1"/>
  <c r="DH16" i="1"/>
  <c r="D28" i="19" s="1"/>
  <c r="DH17" i="1"/>
  <c r="D29" i="19" s="1"/>
  <c r="DH18" i="1"/>
  <c r="D30" i="19" s="1"/>
  <c r="DH19" i="1"/>
  <c r="D31" i="19" s="1"/>
  <c r="DH21" i="1"/>
  <c r="DH22" i="1"/>
  <c r="DH24" i="1"/>
  <c r="DH25" i="1"/>
  <c r="DH27" i="1"/>
  <c r="DH28" i="1"/>
  <c r="DH30" i="1"/>
  <c r="DH31" i="1"/>
  <c r="DH33" i="1"/>
  <c r="DH34" i="1"/>
  <c r="BQ38" i="2"/>
  <c r="BQ35" i="2"/>
  <c r="BQ32" i="2"/>
  <c r="BQ29" i="2"/>
  <c r="BQ26" i="2"/>
  <c r="BQ18" i="2"/>
  <c r="BQ12" i="2"/>
  <c r="B156" i="10"/>
  <c r="B154" i="10"/>
  <c r="B157" i="10"/>
  <c r="B160" i="10"/>
  <c r="B155" i="10"/>
  <c r="B159" i="10"/>
  <c r="B158" i="10"/>
  <c r="S14" i="19" l="1"/>
  <c r="BC131" i="17"/>
  <c r="BO133" i="17" s="1"/>
  <c r="F25" i="19"/>
  <c r="BE106" i="17"/>
  <c r="BQ108" i="17" s="1"/>
  <c r="H27" i="19"/>
  <c r="AD17" i="19"/>
  <c r="AD18" i="19"/>
  <c r="W13" i="19"/>
  <c r="R13" i="19"/>
  <c r="AC13" i="19"/>
  <c r="AB13" i="19"/>
  <c r="AA13" i="19"/>
  <c r="Z13" i="19"/>
  <c r="Y13" i="19"/>
  <c r="X13" i="19"/>
  <c r="V13" i="19"/>
  <c r="BE131" i="17"/>
  <c r="BQ133" i="17" s="1"/>
  <c r="H25" i="19"/>
  <c r="BG106" i="17"/>
  <c r="BS108" i="17" s="1"/>
  <c r="J27" i="19"/>
  <c r="BF131" i="17"/>
  <c r="BR133" i="17" s="1"/>
  <c r="I25" i="19"/>
  <c r="W16" i="19"/>
  <c r="R16" i="19"/>
  <c r="AC16" i="19"/>
  <c r="AB16" i="19"/>
  <c r="AA16" i="19"/>
  <c r="Z16" i="19"/>
  <c r="Y16" i="19"/>
  <c r="X16" i="19"/>
  <c r="V16" i="19"/>
  <c r="U16" i="19"/>
  <c r="BG131" i="17"/>
  <c r="BS133" i="17" s="1"/>
  <c r="J25" i="19"/>
  <c r="AD20" i="19"/>
  <c r="AA14" i="19"/>
  <c r="R14" i="19"/>
  <c r="AC14" i="19"/>
  <c r="AB14" i="19"/>
  <c r="Z14" i="19"/>
  <c r="Y14" i="19"/>
  <c r="X14" i="19"/>
  <c r="W14" i="19"/>
  <c r="V14" i="19"/>
  <c r="U14" i="19"/>
  <c r="BB106" i="17"/>
  <c r="BN108" i="17" s="1"/>
  <c r="E27" i="19"/>
  <c r="BD106" i="17"/>
  <c r="BP108" i="17" s="1"/>
  <c r="G27" i="19"/>
  <c r="BB131" i="17"/>
  <c r="BN133" i="17" s="1"/>
  <c r="E25" i="19"/>
  <c r="BD131" i="17"/>
  <c r="BP133" i="17" s="1"/>
  <c r="G25" i="19"/>
  <c r="BF106" i="17"/>
  <c r="BR108" i="17" s="1"/>
  <c r="I27" i="19"/>
  <c r="AD15" i="19"/>
  <c r="T16" i="19"/>
  <c r="BA106" i="17"/>
  <c r="BM108" i="17" s="1"/>
  <c r="D27" i="19"/>
  <c r="BA131" i="17"/>
  <c r="BM133" i="17" s="1"/>
  <c r="D25" i="19"/>
  <c r="BC106" i="17"/>
  <c r="BO108" i="17" s="1"/>
  <c r="F27" i="19"/>
  <c r="AD19" i="19"/>
  <c r="G154" i="10"/>
  <c r="G155" i="10"/>
  <c r="G157" i="10"/>
  <c r="G158" i="10"/>
  <c r="G160" i="10"/>
  <c r="G159" i="10"/>
  <c r="G156" i="10"/>
  <c r="CD8" i="2"/>
  <c r="CD5" i="2" s="1"/>
  <c r="CC8" i="2"/>
  <c r="CC5" i="2" s="1"/>
  <c r="BX8" i="2"/>
  <c r="BX5" i="2" s="1"/>
  <c r="BZ8" i="2"/>
  <c r="BZ5" i="2" s="1"/>
  <c r="DK29" i="1"/>
  <c r="DO32" i="1"/>
  <c r="DO26" i="1"/>
  <c r="DQ5" i="1"/>
  <c r="BY9" i="2"/>
  <c r="DP5" i="1"/>
  <c r="DN20" i="1"/>
  <c r="DO20" i="1"/>
  <c r="BV11" i="2"/>
  <c r="DN26" i="1"/>
  <c r="DN32" i="1"/>
  <c r="DN12" i="1"/>
  <c r="J24" i="19" s="1"/>
  <c r="DN29" i="1"/>
  <c r="DN23" i="1"/>
  <c r="DO23" i="1"/>
  <c r="DO29" i="1"/>
  <c r="DO12" i="1"/>
  <c r="K24" i="19" s="1"/>
  <c r="DM23" i="1"/>
  <c r="DN6" i="1"/>
  <c r="BW11" i="2"/>
  <c r="DM26" i="1"/>
  <c r="DM32" i="1"/>
  <c r="DL23" i="1"/>
  <c r="DM12" i="1"/>
  <c r="I24" i="19" s="1"/>
  <c r="DM20" i="1"/>
  <c r="DM29" i="1"/>
  <c r="DJ23" i="1"/>
  <c r="DK23" i="1"/>
  <c r="DL12" i="1"/>
  <c r="H24" i="19" s="1"/>
  <c r="DL26" i="1"/>
  <c r="DL32" i="1"/>
  <c r="BT11" i="2"/>
  <c r="DK20" i="1"/>
  <c r="DK32" i="1"/>
  <c r="DL20" i="1"/>
  <c r="DL29" i="1"/>
  <c r="DM6" i="1"/>
  <c r="DL6" i="1"/>
  <c r="DK26" i="1"/>
  <c r="DJ12" i="1"/>
  <c r="F24" i="19" s="1"/>
  <c r="DK12" i="1"/>
  <c r="G24" i="19" s="1"/>
  <c r="DI29" i="1"/>
  <c r="DJ20" i="1"/>
  <c r="DJ26" i="1"/>
  <c r="BU11" i="2"/>
  <c r="BR11" i="2"/>
  <c r="DJ29" i="1"/>
  <c r="DI20" i="1"/>
  <c r="DJ32" i="1"/>
  <c r="BQ11" i="2"/>
  <c r="DK6" i="1"/>
  <c r="DI23" i="1"/>
  <c r="DJ6" i="1"/>
  <c r="DI26" i="1"/>
  <c r="DI32" i="1"/>
  <c r="DI12" i="1"/>
  <c r="E24" i="19" s="1"/>
  <c r="BS11" i="2"/>
  <c r="DI6" i="1"/>
  <c r="DH6" i="1"/>
  <c r="DG21" i="1"/>
  <c r="DG22" i="1"/>
  <c r="DG24" i="1"/>
  <c r="DG25" i="1"/>
  <c r="DG27" i="1"/>
  <c r="DG28" i="1"/>
  <c r="DG30" i="1"/>
  <c r="DG31" i="1"/>
  <c r="DG33" i="1"/>
  <c r="DG34" i="1"/>
  <c r="DG8" i="1"/>
  <c r="DG9" i="1"/>
  <c r="DG10" i="1"/>
  <c r="DG11" i="1"/>
  <c r="DG13" i="1"/>
  <c r="DG14" i="1"/>
  <c r="C26" i="19" s="1"/>
  <c r="DG15" i="1"/>
  <c r="DG16" i="1"/>
  <c r="C28" i="19" s="1"/>
  <c r="DG17" i="1"/>
  <c r="C29" i="19" s="1"/>
  <c r="DG18" i="1"/>
  <c r="C30" i="19" s="1"/>
  <c r="DG19" i="1"/>
  <c r="C31" i="19" s="1"/>
  <c r="N31" i="19" s="1"/>
  <c r="T31" i="19" s="1"/>
  <c r="T42" i="19" s="1"/>
  <c r="D237" i="17" s="1"/>
  <c r="DG7" i="1"/>
  <c r="CU7" i="1"/>
  <c r="B153" i="10"/>
  <c r="Y31" i="19" l="1"/>
  <c r="Y42" i="19" s="1"/>
  <c r="I237" i="17" s="1"/>
  <c r="W31" i="19"/>
  <c r="W42" i="19" s="1"/>
  <c r="G237" i="17" s="1"/>
  <c r="X31" i="19"/>
  <c r="X42" i="19" s="1"/>
  <c r="H237" i="17" s="1"/>
  <c r="V31" i="19"/>
  <c r="V42" i="19" s="1"/>
  <c r="F237" i="17" s="1"/>
  <c r="N26" i="19"/>
  <c r="Z31" i="19"/>
  <c r="Z42" i="19" s="1"/>
  <c r="J237" i="17" s="1"/>
  <c r="AD14" i="19"/>
  <c r="AD16" i="19"/>
  <c r="AD13" i="19"/>
  <c r="S31" i="19"/>
  <c r="S42" i="19" s="1"/>
  <c r="C237" i="17" s="1"/>
  <c r="R31" i="19"/>
  <c r="AA31" i="19"/>
  <c r="AA42" i="19" s="1"/>
  <c r="K237" i="17" s="1"/>
  <c r="AC31" i="19"/>
  <c r="AC42" i="19" s="1"/>
  <c r="M237" i="17" s="1"/>
  <c r="AB31" i="19"/>
  <c r="AB42" i="19" s="1"/>
  <c r="L237" i="17" s="1"/>
  <c r="N30" i="19"/>
  <c r="S30" i="19" s="1"/>
  <c r="S41" i="19" s="1"/>
  <c r="C236" i="17" s="1"/>
  <c r="AZ131" i="17"/>
  <c r="BL133" i="17" s="1"/>
  <c r="C25" i="19"/>
  <c r="N29" i="19"/>
  <c r="S29" i="19" s="1"/>
  <c r="S40" i="19" s="1"/>
  <c r="C235" i="17" s="1"/>
  <c r="U31" i="19"/>
  <c r="U42" i="19" s="1"/>
  <c r="E237" i="17" s="1"/>
  <c r="N28" i="19"/>
  <c r="S28" i="19" s="1"/>
  <c r="S39" i="19" s="1"/>
  <c r="C234" i="17" s="1"/>
  <c r="AZ106" i="17"/>
  <c r="BL108" i="17" s="1"/>
  <c r="C27" i="19"/>
  <c r="G153" i="10"/>
  <c r="F153" i="10"/>
  <c r="B352" i="10"/>
  <c r="BY8" i="2"/>
  <c r="BY5" i="2" s="1"/>
  <c r="BS9" i="2"/>
  <c r="DO5" i="1"/>
  <c r="BV9" i="2"/>
  <c r="BR9" i="2"/>
  <c r="BQ9" i="2"/>
  <c r="BT9" i="2"/>
  <c r="BW9" i="2"/>
  <c r="BU9" i="2"/>
  <c r="DK5" i="1"/>
  <c r="DN5" i="1"/>
  <c r="DL5" i="1"/>
  <c r="DM5" i="1"/>
  <c r="DJ5" i="1"/>
  <c r="DI5" i="1"/>
  <c r="DG6" i="1"/>
  <c r="N27" i="19" l="1"/>
  <c r="AB30" i="19"/>
  <c r="AB41" i="19" s="1"/>
  <c r="L236" i="17" s="1"/>
  <c r="R30" i="19"/>
  <c r="AC30" i="19"/>
  <c r="AC41" i="19" s="1"/>
  <c r="M236" i="17" s="1"/>
  <c r="AA30" i="19"/>
  <c r="AA41" i="19" s="1"/>
  <c r="K236" i="17" s="1"/>
  <c r="X30" i="19"/>
  <c r="X41" i="19" s="1"/>
  <c r="H236" i="17" s="1"/>
  <c r="Y30" i="19"/>
  <c r="Y41" i="19" s="1"/>
  <c r="I236" i="17" s="1"/>
  <c r="W30" i="19"/>
  <c r="W41" i="19" s="1"/>
  <c r="G236" i="17" s="1"/>
  <c r="T30" i="19"/>
  <c r="T41" i="19" s="1"/>
  <c r="D236" i="17" s="1"/>
  <c r="Z30" i="19"/>
  <c r="Z41" i="19" s="1"/>
  <c r="J236" i="17" s="1"/>
  <c r="U30" i="19"/>
  <c r="U41" i="19" s="1"/>
  <c r="E236" i="17" s="1"/>
  <c r="V30" i="19"/>
  <c r="V41" i="19" s="1"/>
  <c r="F236" i="17" s="1"/>
  <c r="AD31" i="19"/>
  <c r="R42" i="19"/>
  <c r="X26" i="19"/>
  <c r="X37" i="19" s="1"/>
  <c r="H232" i="17" s="1"/>
  <c r="R26" i="19"/>
  <c r="AB26" i="19"/>
  <c r="AB37" i="19" s="1"/>
  <c r="L232" i="17" s="1"/>
  <c r="AA26" i="19"/>
  <c r="AA37" i="19" s="1"/>
  <c r="K232" i="17" s="1"/>
  <c r="AC26" i="19"/>
  <c r="AC37" i="19" s="1"/>
  <c r="M232" i="17" s="1"/>
  <c r="W26" i="19"/>
  <c r="W37" i="19" s="1"/>
  <c r="G232" i="17" s="1"/>
  <c r="V26" i="19"/>
  <c r="V37" i="19" s="1"/>
  <c r="F232" i="17" s="1"/>
  <c r="T26" i="19"/>
  <c r="T37" i="19" s="1"/>
  <c r="D232" i="17" s="1"/>
  <c r="Y26" i="19"/>
  <c r="Y37" i="19" s="1"/>
  <c r="I232" i="17" s="1"/>
  <c r="Z26" i="19"/>
  <c r="Z37" i="19" s="1"/>
  <c r="J232" i="17" s="1"/>
  <c r="U26" i="19"/>
  <c r="U37" i="19" s="1"/>
  <c r="E232" i="17" s="1"/>
  <c r="N25" i="19"/>
  <c r="S25" i="19" s="1"/>
  <c r="S36" i="19" s="1"/>
  <c r="C231" i="17" s="1"/>
  <c r="X28" i="19"/>
  <c r="X39" i="19" s="1"/>
  <c r="H234" i="17" s="1"/>
  <c r="R28" i="19"/>
  <c r="AA28" i="19"/>
  <c r="AA39" i="19" s="1"/>
  <c r="K234" i="17" s="1"/>
  <c r="AB28" i="19"/>
  <c r="AB39" i="19" s="1"/>
  <c r="L234" i="17" s="1"/>
  <c r="AC28" i="19"/>
  <c r="AC39" i="19" s="1"/>
  <c r="M234" i="17" s="1"/>
  <c r="V28" i="19"/>
  <c r="V39" i="19" s="1"/>
  <c r="F234" i="17" s="1"/>
  <c r="T28" i="19"/>
  <c r="T39" i="19" s="1"/>
  <c r="D234" i="17" s="1"/>
  <c r="U28" i="19"/>
  <c r="U39" i="19" s="1"/>
  <c r="E234" i="17" s="1"/>
  <c r="W28" i="19"/>
  <c r="W39" i="19" s="1"/>
  <c r="G234" i="17" s="1"/>
  <c r="Z28" i="19"/>
  <c r="Z39" i="19" s="1"/>
  <c r="J234" i="17" s="1"/>
  <c r="Y28" i="19"/>
  <c r="Y39" i="19" s="1"/>
  <c r="I234" i="17" s="1"/>
  <c r="R29" i="19"/>
  <c r="AA29" i="19"/>
  <c r="AA40" i="19" s="1"/>
  <c r="K235" i="17" s="1"/>
  <c r="AB29" i="19"/>
  <c r="AB40" i="19" s="1"/>
  <c r="L235" i="17" s="1"/>
  <c r="AC29" i="19"/>
  <c r="AC40" i="19" s="1"/>
  <c r="M235" i="17" s="1"/>
  <c r="Z29" i="19"/>
  <c r="Z40" i="19" s="1"/>
  <c r="J235" i="17" s="1"/>
  <c r="X29" i="19"/>
  <c r="X40" i="19" s="1"/>
  <c r="H235" i="17" s="1"/>
  <c r="Y29" i="19"/>
  <c r="Y40" i="19" s="1"/>
  <c r="I235" i="17" s="1"/>
  <c r="W29" i="19"/>
  <c r="W40" i="19" s="1"/>
  <c r="G235" i="17" s="1"/>
  <c r="U29" i="19"/>
  <c r="U40" i="19" s="1"/>
  <c r="E235" i="17" s="1"/>
  <c r="V29" i="19"/>
  <c r="V40" i="19" s="1"/>
  <c r="F235" i="17" s="1"/>
  <c r="T29" i="19"/>
  <c r="T40" i="19" s="1"/>
  <c r="D235" i="17" s="1"/>
  <c r="S26" i="19"/>
  <c r="S37" i="19" s="1"/>
  <c r="C232" i="17" s="1"/>
  <c r="BT8" i="2"/>
  <c r="BT5" i="2" s="1"/>
  <c r="BQ8" i="2"/>
  <c r="BQ5" i="2" s="1"/>
  <c r="BS8" i="2"/>
  <c r="BS5" i="2" s="1"/>
  <c r="BU8" i="2"/>
  <c r="BU5" i="2" s="1"/>
  <c r="BR8" i="2"/>
  <c r="BR5" i="2" s="1"/>
  <c r="BW8" i="2"/>
  <c r="BW5" i="2" s="1"/>
  <c r="BV8" i="2"/>
  <c r="BV5" i="2" s="1"/>
  <c r="BP38" i="2"/>
  <c r="BP35" i="2"/>
  <c r="DH29" i="1" s="1"/>
  <c r="BP32" i="2"/>
  <c r="BP29" i="2"/>
  <c r="BP26" i="2"/>
  <c r="DH20" i="1" s="1"/>
  <c r="BP18" i="2"/>
  <c r="DH12" i="1" s="1"/>
  <c r="D24" i="19" s="1"/>
  <c r="BP12" i="2"/>
  <c r="AD42" i="19" l="1"/>
  <c r="B237" i="17"/>
  <c r="B247" i="17" s="1"/>
  <c r="AD28" i="19"/>
  <c r="R39" i="19"/>
  <c r="AB27" i="19"/>
  <c r="AB38" i="19" s="1"/>
  <c r="L233" i="17" s="1"/>
  <c r="R27" i="19"/>
  <c r="AC27" i="19"/>
  <c r="AC38" i="19" s="1"/>
  <c r="M233" i="17" s="1"/>
  <c r="AA27" i="19"/>
  <c r="AA38" i="19" s="1"/>
  <c r="K233" i="17" s="1"/>
  <c r="W27" i="19"/>
  <c r="W38" i="19" s="1"/>
  <c r="G233" i="17" s="1"/>
  <c r="T27" i="19"/>
  <c r="T38" i="19" s="1"/>
  <c r="D233" i="17" s="1"/>
  <c r="Z27" i="19"/>
  <c r="Z38" i="19" s="1"/>
  <c r="J233" i="17" s="1"/>
  <c r="V27" i="19"/>
  <c r="V38" i="19" s="1"/>
  <c r="F233" i="17" s="1"/>
  <c r="U27" i="19"/>
  <c r="U38" i="19" s="1"/>
  <c r="E233" i="17" s="1"/>
  <c r="X27" i="19"/>
  <c r="X38" i="19" s="1"/>
  <c r="H233" i="17" s="1"/>
  <c r="Y27" i="19"/>
  <c r="Y38" i="19" s="1"/>
  <c r="I233" i="17" s="1"/>
  <c r="AD30" i="19"/>
  <c r="R41" i="19"/>
  <c r="AD26" i="19"/>
  <c r="R37" i="19"/>
  <c r="AD29" i="19"/>
  <c r="R40" i="19"/>
  <c r="AC25" i="19"/>
  <c r="AC36" i="19" s="1"/>
  <c r="M231" i="17" s="1"/>
  <c r="R25" i="19"/>
  <c r="AB25" i="19"/>
  <c r="AB36" i="19" s="1"/>
  <c r="L231" i="17" s="1"/>
  <c r="AA25" i="19"/>
  <c r="AA36" i="19" s="1"/>
  <c r="K231" i="17" s="1"/>
  <c r="Y25" i="19"/>
  <c r="Y36" i="19" s="1"/>
  <c r="I231" i="17" s="1"/>
  <c r="Z25" i="19"/>
  <c r="Z36" i="19" s="1"/>
  <c r="J231" i="17" s="1"/>
  <c r="W25" i="19"/>
  <c r="W36" i="19" s="1"/>
  <c r="G231" i="17" s="1"/>
  <c r="V25" i="19"/>
  <c r="V36" i="19" s="1"/>
  <c r="F231" i="17" s="1"/>
  <c r="X25" i="19"/>
  <c r="X36" i="19" s="1"/>
  <c r="H231" i="17" s="1"/>
  <c r="T25" i="19"/>
  <c r="T36" i="19" s="1"/>
  <c r="D231" i="17" s="1"/>
  <c r="U25" i="19"/>
  <c r="U36" i="19" s="1"/>
  <c r="E231" i="17" s="1"/>
  <c r="S27" i="19"/>
  <c r="S38" i="19" s="1"/>
  <c r="C233" i="17" s="1"/>
  <c r="C230" i="17" s="1"/>
  <c r="DH26" i="1"/>
  <c r="DH5" i="1"/>
  <c r="DH23" i="1"/>
  <c r="DH32" i="1"/>
  <c r="BP11" i="2"/>
  <c r="U79" i="10"/>
  <c r="U80" i="10"/>
  <c r="U81" i="10"/>
  <c r="U82" i="10"/>
  <c r="U83" i="10"/>
  <c r="U84" i="10"/>
  <c r="U85" i="10"/>
  <c r="U86" i="10"/>
  <c r="U87" i="10"/>
  <c r="U88" i="10"/>
  <c r="U89" i="10"/>
  <c r="U90" i="10"/>
  <c r="U267" i="10"/>
  <c r="U268" i="10"/>
  <c r="U269" i="10"/>
  <c r="U270" i="10"/>
  <c r="U271" i="10"/>
  <c r="U272" i="10"/>
  <c r="U273" i="10"/>
  <c r="U274" i="10"/>
  <c r="U275" i="10"/>
  <c r="U276" i="10"/>
  <c r="U277" i="10"/>
  <c r="U278" i="10"/>
  <c r="U266" i="10"/>
  <c r="U413" i="10"/>
  <c r="U414" i="10"/>
  <c r="U415" i="10"/>
  <c r="U416" i="10"/>
  <c r="U417" i="10"/>
  <c r="U418" i="10"/>
  <c r="U419" i="10"/>
  <c r="U420" i="10"/>
  <c r="U421" i="10"/>
  <c r="U422" i="10"/>
  <c r="U423" i="10"/>
  <c r="U424" i="10"/>
  <c r="U412" i="10"/>
  <c r="U705" i="10"/>
  <c r="U706" i="10"/>
  <c r="U707" i="10"/>
  <c r="U708" i="10"/>
  <c r="U709" i="10"/>
  <c r="U710" i="10"/>
  <c r="U711" i="10"/>
  <c r="U712" i="10"/>
  <c r="U713" i="10"/>
  <c r="U714" i="10"/>
  <c r="U715" i="10"/>
  <c r="U716" i="10"/>
  <c r="U704" i="10"/>
  <c r="N141" i="3"/>
  <c r="N142" i="3"/>
  <c r="N143" i="3"/>
  <c r="N144" i="3"/>
  <c r="N145" i="3"/>
  <c r="N146" i="3"/>
  <c r="N147" i="3"/>
  <c r="N148" i="3"/>
  <c r="N149" i="3"/>
  <c r="N150" i="3"/>
  <c r="N151" i="3"/>
  <c r="N152" i="3"/>
  <c r="N140" i="3"/>
  <c r="M62" i="3"/>
  <c r="N62" i="3"/>
  <c r="N63" i="3"/>
  <c r="N64" i="3"/>
  <c r="N65" i="3"/>
  <c r="N66" i="3"/>
  <c r="N67" i="3"/>
  <c r="N68" i="3"/>
  <c r="N69" i="3"/>
  <c r="N70" i="3"/>
  <c r="N71" i="3"/>
  <c r="N72" i="3"/>
  <c r="N73" i="3"/>
  <c r="N61" i="3"/>
  <c r="N377" i="3"/>
  <c r="N378" i="3"/>
  <c r="N379" i="3"/>
  <c r="N380" i="3"/>
  <c r="N381" i="3"/>
  <c r="N382" i="3"/>
  <c r="N383" i="3"/>
  <c r="N384" i="3"/>
  <c r="N385" i="3"/>
  <c r="N386" i="3"/>
  <c r="N387" i="3"/>
  <c r="N388" i="3"/>
  <c r="N376" i="3"/>
  <c r="N222" i="3"/>
  <c r="N223" i="3"/>
  <c r="N224" i="3"/>
  <c r="N225" i="3"/>
  <c r="N226" i="3"/>
  <c r="N227" i="3"/>
  <c r="N228" i="3"/>
  <c r="N229" i="3"/>
  <c r="N230" i="3"/>
  <c r="N231" i="3"/>
  <c r="N232" i="3"/>
  <c r="N233" i="3"/>
  <c r="N221" i="3"/>
  <c r="BO38" i="2"/>
  <c r="BO35" i="2"/>
  <c r="DG29" i="1" s="1"/>
  <c r="BO32" i="2"/>
  <c r="BO29" i="2"/>
  <c r="BO26" i="2"/>
  <c r="DG20" i="1" s="1"/>
  <c r="BO18" i="2"/>
  <c r="BO12" i="2"/>
  <c r="F230" i="17" l="1"/>
  <c r="D230" i="17"/>
  <c r="G230" i="17"/>
  <c r="H230" i="17"/>
  <c r="M230" i="17"/>
  <c r="I230" i="17"/>
  <c r="B235" i="17"/>
  <c r="B245" i="17" s="1"/>
  <c r="AD40" i="19"/>
  <c r="AD27" i="19"/>
  <c r="R38" i="19"/>
  <c r="J230" i="17"/>
  <c r="B232" i="17"/>
  <c r="B242" i="17" s="1"/>
  <c r="AD37" i="19"/>
  <c r="B234" i="17"/>
  <c r="B244" i="17" s="1"/>
  <c r="AD39" i="19"/>
  <c r="K230" i="17"/>
  <c r="B236" i="17"/>
  <c r="B246" i="17" s="1"/>
  <c r="AD41" i="19"/>
  <c r="B257" i="17"/>
  <c r="C247" i="17"/>
  <c r="AD25" i="19"/>
  <c r="R36" i="19"/>
  <c r="E230" i="17"/>
  <c r="L230" i="17"/>
  <c r="E709" i="10"/>
  <c r="B709" i="10"/>
  <c r="E422" i="10"/>
  <c r="B422" i="10"/>
  <c r="B414" i="10"/>
  <c r="E414" i="10"/>
  <c r="E273" i="10"/>
  <c r="B273" i="10"/>
  <c r="B419" i="10"/>
  <c r="E419" i="10"/>
  <c r="B421" i="10"/>
  <c r="E421" i="10"/>
  <c r="E272" i="10"/>
  <c r="B272" i="10"/>
  <c r="E420" i="10"/>
  <c r="B420" i="10"/>
  <c r="B271" i="10"/>
  <c r="E271" i="10"/>
  <c r="B706" i="10"/>
  <c r="E706" i="10"/>
  <c r="E713" i="10"/>
  <c r="B713" i="10"/>
  <c r="E418" i="10"/>
  <c r="B418" i="10"/>
  <c r="E277" i="10"/>
  <c r="B277" i="10"/>
  <c r="E269" i="10"/>
  <c r="B269" i="10"/>
  <c r="E716" i="10"/>
  <c r="B716" i="10"/>
  <c r="E413" i="10"/>
  <c r="B413" i="10"/>
  <c r="B715" i="10"/>
  <c r="E715" i="10"/>
  <c r="E417" i="10"/>
  <c r="B417" i="10"/>
  <c r="E276" i="10"/>
  <c r="B276" i="10"/>
  <c r="E268" i="10"/>
  <c r="B268" i="10"/>
  <c r="B708" i="10"/>
  <c r="E708" i="10"/>
  <c r="B707" i="10"/>
  <c r="E707" i="10"/>
  <c r="E714" i="10"/>
  <c r="B714" i="10"/>
  <c r="E278" i="10"/>
  <c r="B278" i="10"/>
  <c r="E712" i="10"/>
  <c r="B712" i="10"/>
  <c r="B711" i="10"/>
  <c r="E711" i="10"/>
  <c r="B424" i="10"/>
  <c r="E424" i="10"/>
  <c r="B416" i="10"/>
  <c r="E416" i="10"/>
  <c r="E275" i="10"/>
  <c r="B275" i="10"/>
  <c r="B267" i="10"/>
  <c r="E267" i="10"/>
  <c r="E270" i="10"/>
  <c r="B270" i="10"/>
  <c r="E705" i="10"/>
  <c r="B705" i="10"/>
  <c r="B710" i="10"/>
  <c r="E710" i="10"/>
  <c r="B423" i="10"/>
  <c r="E423" i="10"/>
  <c r="E415" i="10"/>
  <c r="B415" i="10"/>
  <c r="E274" i="10"/>
  <c r="B274" i="10"/>
  <c r="E88" i="10"/>
  <c r="B88" i="10"/>
  <c r="E80" i="10"/>
  <c r="B80" i="10"/>
  <c r="B87" i="10"/>
  <c r="E87" i="10"/>
  <c r="B79" i="10"/>
  <c r="E79" i="10"/>
  <c r="E81" i="10"/>
  <c r="B81" i="10"/>
  <c r="B85" i="10"/>
  <c r="E85" i="10"/>
  <c r="E86" i="10"/>
  <c r="B86" i="10"/>
  <c r="B84" i="10"/>
  <c r="E84" i="10"/>
  <c r="E89" i="10"/>
  <c r="B89" i="10"/>
  <c r="E83" i="10"/>
  <c r="B83" i="10"/>
  <c r="E90" i="10"/>
  <c r="B90" i="10"/>
  <c r="E82" i="10"/>
  <c r="B82" i="10"/>
  <c r="DG32" i="1"/>
  <c r="DG26" i="1"/>
  <c r="DG23" i="1"/>
  <c r="DG12" i="1"/>
  <c r="C24" i="19" s="1"/>
  <c r="BO11" i="2"/>
  <c r="BP9" i="2"/>
  <c r="CN38" i="2"/>
  <c r="CN35" i="2"/>
  <c r="CN32" i="2"/>
  <c r="CN29" i="2"/>
  <c r="CN18" i="2"/>
  <c r="O13" i="19" s="1"/>
  <c r="CN12" i="2"/>
  <c r="CN5" i="2"/>
  <c r="B47" i="17" a="1"/>
  <c r="B51" i="17" a="1"/>
  <c r="B54" i="17" a="1"/>
  <c r="B48" i="17" a="1"/>
  <c r="B46" i="17" a="1"/>
  <c r="D247" i="17" l="1"/>
  <c r="C257" i="17"/>
  <c r="B231" i="17"/>
  <c r="AD36" i="19"/>
  <c r="B233" i="17"/>
  <c r="B243" i="17" s="1"/>
  <c r="AD38" i="19"/>
  <c r="B254" i="17"/>
  <c r="C244" i="17"/>
  <c r="N24" i="19"/>
  <c r="S24" i="19"/>
  <c r="S35" i="19" s="1"/>
  <c r="B256" i="17"/>
  <c r="C246" i="17"/>
  <c r="B252" i="17"/>
  <c r="C242" i="17"/>
  <c r="B255" i="17"/>
  <c r="C245" i="17"/>
  <c r="B91" i="10"/>
  <c r="B47" i="17"/>
  <c r="G46" i="17" s="1"/>
  <c r="B54" i="17"/>
  <c r="B46" i="17"/>
  <c r="F46" i="17" s="1"/>
  <c r="B48" i="17"/>
  <c r="B51" i="17"/>
  <c r="BP8" i="2"/>
  <c r="BP5" i="2" s="1"/>
  <c r="DG5" i="1"/>
  <c r="BO9" i="2"/>
  <c r="CN11" i="2"/>
  <c r="B45" i="17" a="1"/>
  <c r="E247" i="17" l="1"/>
  <c r="D257" i="17"/>
  <c r="D245" i="17"/>
  <c r="C255" i="17"/>
  <c r="D244" i="17"/>
  <c r="C254" i="17"/>
  <c r="D242" i="17"/>
  <c r="C252" i="17"/>
  <c r="D246" i="17"/>
  <c r="C256" i="17"/>
  <c r="X24" i="19"/>
  <c r="X35" i="19" s="1"/>
  <c r="R24" i="19"/>
  <c r="AB24" i="19"/>
  <c r="AB35" i="19" s="1"/>
  <c r="AC24" i="19"/>
  <c r="AC35" i="19" s="1"/>
  <c r="AA24" i="19"/>
  <c r="AA35" i="19" s="1"/>
  <c r="U24" i="19"/>
  <c r="U35" i="19" s="1"/>
  <c r="Y24" i="19"/>
  <c r="Y35" i="19" s="1"/>
  <c r="Z24" i="19"/>
  <c r="Z35" i="19" s="1"/>
  <c r="V24" i="19"/>
  <c r="V35" i="19" s="1"/>
  <c r="W24" i="19"/>
  <c r="W35" i="19" s="1"/>
  <c r="T24" i="19"/>
  <c r="T35" i="19" s="1"/>
  <c r="B253" i="17"/>
  <c r="C243" i="17"/>
  <c r="B241" i="17"/>
  <c r="B230" i="17"/>
  <c r="B240" i="17" s="1"/>
  <c r="B258" i="17" s="1"/>
  <c r="B45" i="17"/>
  <c r="BO8" i="2"/>
  <c r="BO5" i="2" s="1"/>
  <c r="CN9" i="2"/>
  <c r="DE7" i="1"/>
  <c r="DE8" i="1"/>
  <c r="DE9" i="1"/>
  <c r="DE10" i="1"/>
  <c r="DE11" i="1"/>
  <c r="DE13" i="1"/>
  <c r="AX131" i="17" s="1"/>
  <c r="DE14" i="1"/>
  <c r="DE15" i="1"/>
  <c r="AX106" i="17" s="1"/>
  <c r="DE16" i="1"/>
  <c r="DE17" i="1"/>
  <c r="DE18" i="1"/>
  <c r="DE19" i="1"/>
  <c r="DE21" i="1"/>
  <c r="DE22" i="1"/>
  <c r="DE24" i="1"/>
  <c r="DE25" i="1"/>
  <c r="DE27" i="1"/>
  <c r="DE28" i="1"/>
  <c r="DE30" i="1"/>
  <c r="DE31" i="1"/>
  <c r="DE33" i="1"/>
  <c r="DE34" i="1"/>
  <c r="F247" i="17" l="1"/>
  <c r="E257" i="17"/>
  <c r="E245" i="17"/>
  <c r="D255" i="17"/>
  <c r="E242" i="17"/>
  <c r="D252" i="17"/>
  <c r="E244" i="17"/>
  <c r="D254" i="17"/>
  <c r="E246" i="17"/>
  <c r="D256" i="17"/>
  <c r="D243" i="17"/>
  <c r="C253" i="17"/>
  <c r="B250" i="17"/>
  <c r="C240" i="17"/>
  <c r="C250" i="17" s="1"/>
  <c r="B251" i="17"/>
  <c r="C241" i="17"/>
  <c r="AD24" i="19"/>
  <c r="R35" i="19"/>
  <c r="AD35" i="19" s="1"/>
  <c r="F163" i="10"/>
  <c r="BJ108" i="17"/>
  <c r="BJ133" i="17"/>
  <c r="DE6" i="1"/>
  <c r="BM38" i="2"/>
  <c r="BM35" i="2"/>
  <c r="BM32" i="2"/>
  <c r="BM29" i="2"/>
  <c r="BM26" i="2"/>
  <c r="BM18" i="2"/>
  <c r="BM12" i="2"/>
  <c r="G247" i="17" l="1"/>
  <c r="F257" i="17"/>
  <c r="F242" i="17"/>
  <c r="E252" i="17"/>
  <c r="F245" i="17"/>
  <c r="E255" i="17"/>
  <c r="F244" i="17"/>
  <c r="E254" i="17"/>
  <c r="F246" i="17"/>
  <c r="E256" i="17"/>
  <c r="E243" i="17"/>
  <c r="D253" i="17"/>
  <c r="D241" i="17"/>
  <c r="C251" i="17"/>
  <c r="D240" i="17"/>
  <c r="D250" i="17" s="1"/>
  <c r="C258" i="17"/>
  <c r="BM11" i="2"/>
  <c r="BL38" i="2"/>
  <c r="BL35" i="2"/>
  <c r="DE29" i="1" s="1"/>
  <c r="BL32" i="2"/>
  <c r="BL29" i="2"/>
  <c r="BL26" i="2"/>
  <c r="DE20" i="1" s="1"/>
  <c r="BL18" i="2"/>
  <c r="DE12" i="1" s="1"/>
  <c r="BL12" i="2"/>
  <c r="DD7" i="1"/>
  <c r="DD8" i="1"/>
  <c r="DD9" i="1"/>
  <c r="DD10" i="1"/>
  <c r="DD11" i="1"/>
  <c r="DD13" i="1"/>
  <c r="AW131" i="17" s="1"/>
  <c r="DD14" i="1"/>
  <c r="DD15" i="1"/>
  <c r="AW106" i="17" s="1"/>
  <c r="DD16" i="1"/>
  <c r="DD17" i="1"/>
  <c r="DD18" i="1"/>
  <c r="DD19" i="1"/>
  <c r="DD21" i="1"/>
  <c r="DD22" i="1"/>
  <c r="DD24" i="1"/>
  <c r="DD25" i="1"/>
  <c r="DD27" i="1"/>
  <c r="DD28" i="1"/>
  <c r="DD30" i="1"/>
  <c r="DD31" i="1"/>
  <c r="DD33" i="1"/>
  <c r="DD34" i="1"/>
  <c r="DC7" i="1"/>
  <c r="DC8" i="1"/>
  <c r="DC9" i="1"/>
  <c r="DC10" i="1"/>
  <c r="DC11" i="1"/>
  <c r="DC13" i="1"/>
  <c r="AV131" i="17" s="1"/>
  <c r="DC14" i="1"/>
  <c r="DC15" i="1"/>
  <c r="AV106" i="17" s="1"/>
  <c r="DC16" i="1"/>
  <c r="DC17" i="1"/>
  <c r="DC18" i="1"/>
  <c r="DC19" i="1"/>
  <c r="DC21" i="1"/>
  <c r="DC22" i="1"/>
  <c r="DC24" i="1"/>
  <c r="DC25" i="1"/>
  <c r="DC27" i="1"/>
  <c r="DC28" i="1"/>
  <c r="DC30" i="1"/>
  <c r="DC31" i="1"/>
  <c r="DC33" i="1"/>
  <c r="DC34" i="1"/>
  <c r="BK38" i="2"/>
  <c r="BK35" i="2"/>
  <c r="BK32" i="2"/>
  <c r="BK29" i="2"/>
  <c r="BK26" i="2"/>
  <c r="BK18" i="2"/>
  <c r="BK12" i="2"/>
  <c r="DB7" i="1"/>
  <c r="DB8" i="1"/>
  <c r="DB9" i="1"/>
  <c r="DB10" i="1"/>
  <c r="DB11" i="1"/>
  <c r="DB13" i="1"/>
  <c r="AU131" i="17" s="1"/>
  <c r="DB14" i="1"/>
  <c r="DB15" i="1"/>
  <c r="AU106" i="17" s="1"/>
  <c r="DB16" i="1"/>
  <c r="DB17" i="1"/>
  <c r="DB18" i="1"/>
  <c r="DB19" i="1"/>
  <c r="DB21" i="1"/>
  <c r="DB22" i="1"/>
  <c r="DB24" i="1"/>
  <c r="DB25" i="1"/>
  <c r="DB27" i="1"/>
  <c r="DB28" i="1"/>
  <c r="DB30" i="1"/>
  <c r="DB31" i="1"/>
  <c r="DB33" i="1"/>
  <c r="DB34" i="1"/>
  <c r="H247" i="17" l="1"/>
  <c r="G257" i="17"/>
  <c r="G244" i="17"/>
  <c r="F254" i="17"/>
  <c r="G242" i="17"/>
  <c r="F252" i="17"/>
  <c r="G245" i="17"/>
  <c r="F255" i="17"/>
  <c r="G246" i="17"/>
  <c r="F256" i="17"/>
  <c r="F243" i="17"/>
  <c r="E253" i="17"/>
  <c r="E240" i="17"/>
  <c r="E250" i="17" s="1"/>
  <c r="D258" i="17"/>
  <c r="E241" i="17"/>
  <c r="D251" i="17"/>
  <c r="F162" i="10"/>
  <c r="F160" i="10"/>
  <c r="F161" i="10"/>
  <c r="BH133" i="17"/>
  <c r="BG108" i="17"/>
  <c r="BG133" i="17"/>
  <c r="BI108" i="17"/>
  <c r="BH108" i="17"/>
  <c r="BI133" i="17"/>
  <c r="DE23" i="1"/>
  <c r="DE5" i="1"/>
  <c r="DE26" i="1"/>
  <c r="DE32" i="1"/>
  <c r="BM9" i="2"/>
  <c r="BM8" i="2" s="1"/>
  <c r="DD6" i="1"/>
  <c r="DD32" i="1"/>
  <c r="DD12" i="1"/>
  <c r="DD20" i="1"/>
  <c r="DD23" i="1"/>
  <c r="DD26" i="1"/>
  <c r="DD29" i="1"/>
  <c r="BL11" i="2"/>
  <c r="DC6" i="1"/>
  <c r="BK11" i="2"/>
  <c r="DB6" i="1"/>
  <c r="BJ12" i="2"/>
  <c r="BJ18" i="2"/>
  <c r="DC12" i="1" s="1"/>
  <c r="BJ26" i="2"/>
  <c r="DC20" i="1" s="1"/>
  <c r="BJ29" i="2"/>
  <c r="BJ32" i="2"/>
  <c r="BJ35" i="2"/>
  <c r="DC29" i="1" s="1"/>
  <c r="BJ38" i="2"/>
  <c r="I247" i="17" l="1"/>
  <c r="J247" i="17" s="1"/>
  <c r="K247" i="17" s="1"/>
  <c r="L247" i="17" s="1"/>
  <c r="M247" i="17" s="1"/>
  <c r="H257" i="17"/>
  <c r="H245" i="17"/>
  <c r="G255" i="17"/>
  <c r="H244" i="17"/>
  <c r="G254" i="17"/>
  <c r="H242" i="17"/>
  <c r="G252" i="17"/>
  <c r="H246" i="17"/>
  <c r="G256" i="17"/>
  <c r="G243" i="17"/>
  <c r="F253" i="17"/>
  <c r="F240" i="17"/>
  <c r="F250" i="17" s="1"/>
  <c r="E258" i="17"/>
  <c r="F241" i="17"/>
  <c r="E251" i="17"/>
  <c r="DD5" i="1"/>
  <c r="BK9" i="2"/>
  <c r="BK8" i="2" s="1"/>
  <c r="DC26" i="1"/>
  <c r="BL9" i="2"/>
  <c r="BL8" i="2" s="1"/>
  <c r="BM5" i="2"/>
  <c r="DC32" i="1"/>
  <c r="DC23" i="1"/>
  <c r="BJ11" i="2"/>
  <c r="DC5" i="1"/>
  <c r="DA7" i="1"/>
  <c r="DA8" i="1"/>
  <c r="DA9" i="1"/>
  <c r="DA10" i="1"/>
  <c r="DA11" i="1"/>
  <c r="DA13" i="1"/>
  <c r="AT131" i="17" s="1"/>
  <c r="DA14" i="1"/>
  <c r="DA15" i="1"/>
  <c r="AT106" i="17" s="1"/>
  <c r="DA16" i="1"/>
  <c r="DA17" i="1"/>
  <c r="DA18" i="1"/>
  <c r="DA19" i="1"/>
  <c r="DA21" i="1"/>
  <c r="DA22" i="1"/>
  <c r="DA24" i="1"/>
  <c r="DA25" i="1"/>
  <c r="DA27" i="1"/>
  <c r="DA28" i="1"/>
  <c r="DA30" i="1"/>
  <c r="DA31" i="1"/>
  <c r="DA33" i="1"/>
  <c r="DA34" i="1"/>
  <c r="I245" i="17" l="1"/>
  <c r="J245" i="17" s="1"/>
  <c r="K245" i="17" s="1"/>
  <c r="L245" i="17" s="1"/>
  <c r="M245" i="17" s="1"/>
  <c r="H255" i="17"/>
  <c r="I244" i="17"/>
  <c r="J244" i="17" s="1"/>
  <c r="K244" i="17" s="1"/>
  <c r="L244" i="17" s="1"/>
  <c r="M244" i="17" s="1"/>
  <c r="H254" i="17"/>
  <c r="I242" i="17"/>
  <c r="J242" i="17" s="1"/>
  <c r="K242" i="17" s="1"/>
  <c r="L242" i="17" s="1"/>
  <c r="M242" i="17" s="1"/>
  <c r="H252" i="17"/>
  <c r="I246" i="17"/>
  <c r="J246" i="17" s="1"/>
  <c r="K246" i="17" s="1"/>
  <c r="L246" i="17" s="1"/>
  <c r="M246" i="17" s="1"/>
  <c r="H256" i="17"/>
  <c r="H243" i="17"/>
  <c r="G253" i="17"/>
  <c r="G240" i="17"/>
  <c r="F258" i="17"/>
  <c r="G241" i="17"/>
  <c r="F251" i="17"/>
  <c r="F159" i="10"/>
  <c r="BF108" i="17"/>
  <c r="BF133" i="17"/>
  <c r="BL5" i="2"/>
  <c r="BK5" i="2"/>
  <c r="BJ9" i="2"/>
  <c r="BJ8" i="2" s="1"/>
  <c r="DA6" i="1"/>
  <c r="I243" i="17" l="1"/>
  <c r="J243" i="17" s="1"/>
  <c r="K243" i="17" s="1"/>
  <c r="L243" i="17" s="1"/>
  <c r="M243" i="17" s="1"/>
  <c r="H253" i="17"/>
  <c r="H241" i="17"/>
  <c r="G251" i="17"/>
  <c r="H240" i="17"/>
  <c r="G258" i="17"/>
  <c r="G250" i="17"/>
  <c r="BJ5" i="2"/>
  <c r="BI38" i="2"/>
  <c r="BI35" i="2"/>
  <c r="DB29" i="1" s="1"/>
  <c r="BI32" i="2"/>
  <c r="BI29" i="2"/>
  <c r="BI26" i="2"/>
  <c r="DB20" i="1" s="1"/>
  <c r="BI12" i="2"/>
  <c r="BH12" i="2"/>
  <c r="BI18" i="2"/>
  <c r="DB12" i="1" s="1"/>
  <c r="I240" i="17" l="1"/>
  <c r="J240" i="17" s="1"/>
  <c r="K240" i="17" s="1"/>
  <c r="L240" i="17" s="1"/>
  <c r="M240" i="17" s="1"/>
  <c r="H250" i="17"/>
  <c r="H258" i="17"/>
  <c r="I241" i="17"/>
  <c r="J241" i="17" s="1"/>
  <c r="K241" i="17" s="1"/>
  <c r="L241" i="17" s="1"/>
  <c r="M241" i="17" s="1"/>
  <c r="H251" i="17"/>
  <c r="DB23" i="1"/>
  <c r="DB26" i="1"/>
  <c r="DB32" i="1"/>
  <c r="DB5" i="1"/>
  <c r="BI11" i="2"/>
  <c r="CZ7" i="1"/>
  <c r="CZ8" i="1"/>
  <c r="CZ9" i="1"/>
  <c r="CZ10" i="1"/>
  <c r="CZ11" i="1"/>
  <c r="CZ13" i="1"/>
  <c r="AS131" i="17" s="1"/>
  <c r="CZ14" i="1"/>
  <c r="CZ15" i="1"/>
  <c r="AS106" i="17" s="1"/>
  <c r="CZ16" i="1"/>
  <c r="CZ17" i="1"/>
  <c r="CZ18" i="1"/>
  <c r="CZ19" i="1"/>
  <c r="CZ21" i="1"/>
  <c r="CZ22" i="1"/>
  <c r="CZ24" i="1"/>
  <c r="CZ25" i="1"/>
  <c r="CZ27" i="1"/>
  <c r="CZ28" i="1"/>
  <c r="CZ30" i="1"/>
  <c r="CZ31" i="1"/>
  <c r="CZ33" i="1"/>
  <c r="CZ34" i="1"/>
  <c r="F158" i="10" l="1"/>
  <c r="BE108" i="17"/>
  <c r="BE133" i="17"/>
  <c r="BI9" i="2"/>
  <c r="BI8" i="2" s="1"/>
  <c r="CZ6" i="1"/>
  <c r="BI5" i="2" l="1"/>
  <c r="BH18" i="2"/>
  <c r="DA12" i="1" s="1"/>
  <c r="BH26" i="2"/>
  <c r="DA20" i="1" s="1"/>
  <c r="BH29" i="2"/>
  <c r="BH32" i="2"/>
  <c r="BH35" i="2"/>
  <c r="DA29" i="1" s="1"/>
  <c r="BH38" i="2"/>
  <c r="DA23" i="1" l="1"/>
  <c r="DA5" i="1"/>
  <c r="DA32" i="1"/>
  <c r="DA26" i="1"/>
  <c r="BH11" i="2"/>
  <c r="F352" i="10" l="1"/>
  <c r="G352" i="10"/>
  <c r="B158" i="17"/>
  <c r="BH9" i="2"/>
  <c r="BH8" i="2" s="1"/>
  <c r="BG26" i="2"/>
  <c r="CZ20" i="1" s="1"/>
  <c r="BG12" i="2"/>
  <c r="CY34" i="1"/>
  <c r="CY33" i="1"/>
  <c r="CY31" i="1"/>
  <c r="CY30" i="1"/>
  <c r="CY28" i="1"/>
  <c r="CY27" i="1"/>
  <c r="CY25" i="1"/>
  <c r="CY24" i="1"/>
  <c r="CY22" i="1"/>
  <c r="CY21" i="1"/>
  <c r="CY19" i="1"/>
  <c r="CY18" i="1"/>
  <c r="CY17" i="1"/>
  <c r="CY16" i="1"/>
  <c r="CY15" i="1"/>
  <c r="AR106" i="17" s="1"/>
  <c r="CY14" i="1"/>
  <c r="CY13" i="1"/>
  <c r="AR131" i="17" s="1"/>
  <c r="CY11" i="1"/>
  <c r="CY10" i="1"/>
  <c r="CY9" i="1"/>
  <c r="CY8" i="1"/>
  <c r="CY7" i="1"/>
  <c r="BG38" i="2"/>
  <c r="BG35" i="2"/>
  <c r="CZ29" i="1" s="1"/>
  <c r="BG29" i="2"/>
  <c r="BG32" i="2"/>
  <c r="BG18" i="2"/>
  <c r="CZ12" i="1" s="1"/>
  <c r="I165" i="17" a="1"/>
  <c r="I165" i="17" l="1"/>
  <c r="F157" i="10"/>
  <c r="BD133" i="17"/>
  <c r="BD108" i="17"/>
  <c r="CZ5" i="1"/>
  <c r="CZ26" i="1"/>
  <c r="CZ23" i="1"/>
  <c r="CZ32" i="1"/>
  <c r="BH5" i="2"/>
  <c r="CY6" i="1"/>
  <c r="BG11" i="2"/>
  <c r="CX7" i="1"/>
  <c r="CX8" i="1"/>
  <c r="CX9" i="1"/>
  <c r="CX10" i="1"/>
  <c r="CX11" i="1"/>
  <c r="CX13" i="1"/>
  <c r="AQ131" i="17" s="1"/>
  <c r="CX14" i="1"/>
  <c r="CX15" i="1"/>
  <c r="AQ106" i="17" s="1"/>
  <c r="CX16" i="1"/>
  <c r="CX17" i="1"/>
  <c r="CX18" i="1"/>
  <c r="CX19" i="1"/>
  <c r="CX21" i="1"/>
  <c r="CX22" i="1"/>
  <c r="CX24" i="1"/>
  <c r="CX25" i="1"/>
  <c r="CX27" i="1"/>
  <c r="CX28" i="1"/>
  <c r="CX30" i="1"/>
  <c r="CX31" i="1"/>
  <c r="CX33" i="1"/>
  <c r="CX34" i="1"/>
  <c r="BF38" i="2"/>
  <c r="BF35" i="2"/>
  <c r="CY29" i="1" s="1"/>
  <c r="BF32" i="2"/>
  <c r="BF29" i="2"/>
  <c r="BF26" i="2"/>
  <c r="CY20" i="1" s="1"/>
  <c r="BF18" i="2"/>
  <c r="CY12" i="1" s="1"/>
  <c r="BF12" i="2"/>
  <c r="C202" i="17" a="1"/>
  <c r="I167" i="17" a="1"/>
  <c r="B165" i="17" a="1"/>
  <c r="B170" i="17" a="1"/>
  <c r="I194" i="17" a="1"/>
  <c r="I164" i="17" a="1"/>
  <c r="B168" i="17" a="1"/>
  <c r="C196" i="17" a="1"/>
  <c r="H168" i="17" a="1"/>
  <c r="B171" i="17" a="1"/>
  <c r="B198" i="17" a="1"/>
  <c r="H199" i="17" a="1"/>
  <c r="C194" i="17" a="1"/>
  <c r="C170" i="17" a="1"/>
  <c r="H196" i="17" a="1"/>
  <c r="H163" i="17" a="1"/>
  <c r="C197" i="17" a="1"/>
  <c r="C201" i="17" a="1"/>
  <c r="H165" i="17" a="1"/>
  <c r="I200" i="17" a="1"/>
  <c r="C165" i="17" a="1"/>
  <c r="B196" i="17" a="1"/>
  <c r="B197" i="17" a="1"/>
  <c r="C164" i="17" a="1"/>
  <c r="H164" i="17" a="1"/>
  <c r="I168" i="17" a="1"/>
  <c r="C168" i="17" a="1"/>
  <c r="C195" i="17" a="1"/>
  <c r="B169" i="17" a="1"/>
  <c r="B167" i="17" a="1"/>
  <c r="H167" i="17" a="1"/>
  <c r="B195" i="17" a="1"/>
  <c r="C198" i="17" a="1"/>
  <c r="C167" i="17" a="1"/>
  <c r="B199" i="17" a="1"/>
  <c r="I166" i="17" a="1"/>
  <c r="H194" i="17" a="1"/>
  <c r="C200" i="17" a="1"/>
  <c r="C163" i="17" a="1"/>
  <c r="H198" i="17" a="1"/>
  <c r="B201" i="17" a="1"/>
  <c r="C166" i="17" a="1"/>
  <c r="H195" i="17" a="1"/>
  <c r="B200" i="17" a="1"/>
  <c r="I169" i="17" a="1"/>
  <c r="B166" i="17" a="1"/>
  <c r="H169" i="17" a="1"/>
  <c r="I195" i="17" a="1"/>
  <c r="I197" i="17" a="1"/>
  <c r="B194" i="17" a="1"/>
  <c r="B164" i="17" a="1"/>
  <c r="I199" i="17" a="1"/>
  <c r="I196" i="17" a="1"/>
  <c r="C171" i="17" a="1"/>
  <c r="H200" i="17" a="1"/>
  <c r="I163" i="17" a="1"/>
  <c r="H197" i="17" a="1"/>
  <c r="C199" i="17" a="1"/>
  <c r="B163" i="17" a="1"/>
  <c r="B202" i="17" a="1"/>
  <c r="I198" i="17" a="1"/>
  <c r="H166" i="17" a="1"/>
  <c r="C169" i="17" a="1"/>
  <c r="H163" i="17" l="1"/>
  <c r="C196" i="17"/>
  <c r="H194" i="17"/>
  <c r="C171" i="17"/>
  <c r="B169" i="17"/>
  <c r="C164" i="17"/>
  <c r="H164" i="17"/>
  <c r="B200" i="17"/>
  <c r="B196" i="17"/>
  <c r="B166" i="17"/>
  <c r="H165" i="17"/>
  <c r="B164" i="17"/>
  <c r="H200" i="17"/>
  <c r="H167" i="17"/>
  <c r="I166" i="17"/>
  <c r="B167" i="17"/>
  <c r="B165" i="17"/>
  <c r="C163" i="17"/>
  <c r="I195" i="17"/>
  <c r="C166" i="17"/>
  <c r="C199" i="17"/>
  <c r="I168" i="17"/>
  <c r="I164" i="17"/>
  <c r="C168" i="17"/>
  <c r="C195" i="17"/>
  <c r="H195" i="17"/>
  <c r="B197" i="17"/>
  <c r="C165" i="17"/>
  <c r="C170" i="17"/>
  <c r="H169" i="17"/>
  <c r="B201" i="17"/>
  <c r="C198" i="17"/>
  <c r="C197" i="17"/>
  <c r="B171" i="17"/>
  <c r="B163" i="17"/>
  <c r="C169" i="17"/>
  <c r="H166" i="17"/>
  <c r="I194" i="17"/>
  <c r="B199" i="17"/>
  <c r="I167" i="17"/>
  <c r="I199" i="17"/>
  <c r="B170" i="17"/>
  <c r="C167" i="17"/>
  <c r="C202" i="17"/>
  <c r="H168" i="17"/>
  <c r="C201" i="17"/>
  <c r="I200" i="17"/>
  <c r="H198" i="17"/>
  <c r="B168" i="17"/>
  <c r="C194" i="17"/>
  <c r="I169" i="17"/>
  <c r="B202" i="17"/>
  <c r="H199" i="17"/>
  <c r="I198" i="17"/>
  <c r="I197" i="17"/>
  <c r="B195" i="17"/>
  <c r="B198" i="17"/>
  <c r="I196" i="17"/>
  <c r="B194" i="17"/>
  <c r="C200" i="17"/>
  <c r="H197" i="17"/>
  <c r="H196" i="17"/>
  <c r="I163" i="17"/>
  <c r="F156" i="10"/>
  <c r="BC133" i="17"/>
  <c r="BC108" i="17"/>
  <c r="CY32" i="1"/>
  <c r="CY23" i="1"/>
  <c r="BG9" i="2"/>
  <c r="BG8" i="2" s="1"/>
  <c r="CY26" i="1"/>
  <c r="CY5" i="1"/>
  <c r="CX6" i="1"/>
  <c r="BF11" i="2"/>
  <c r="CW7" i="1"/>
  <c r="CW8" i="1"/>
  <c r="CW9" i="1"/>
  <c r="CW10" i="1"/>
  <c r="CW11" i="1"/>
  <c r="CW13" i="1"/>
  <c r="AP131" i="17" s="1"/>
  <c r="CW14" i="1"/>
  <c r="CW15" i="1"/>
  <c r="AP106" i="17" s="1"/>
  <c r="CW16" i="1"/>
  <c r="CW17" i="1"/>
  <c r="CW18" i="1"/>
  <c r="CW19" i="1"/>
  <c r="CW21" i="1"/>
  <c r="CW22" i="1"/>
  <c r="CW24" i="1"/>
  <c r="CW25" i="1"/>
  <c r="CW27" i="1"/>
  <c r="CW28" i="1"/>
  <c r="CW30" i="1"/>
  <c r="CW31" i="1"/>
  <c r="CW33" i="1"/>
  <c r="CW34" i="1"/>
  <c r="BE38" i="2"/>
  <c r="BE35" i="2"/>
  <c r="BE32" i="2"/>
  <c r="BE29" i="2"/>
  <c r="BE26" i="2"/>
  <c r="BE18" i="2"/>
  <c r="CX12" i="1" s="1"/>
  <c r="BE12" i="2"/>
  <c r="CV7" i="1"/>
  <c r="CV8" i="1"/>
  <c r="CV9" i="1"/>
  <c r="CV10" i="1"/>
  <c r="CV11" i="1"/>
  <c r="CV13" i="1"/>
  <c r="AO131" i="17" s="1"/>
  <c r="CV14" i="1"/>
  <c r="CV15" i="1"/>
  <c r="AO106" i="17" s="1"/>
  <c r="CV16" i="1"/>
  <c r="CV17" i="1"/>
  <c r="CV18" i="1"/>
  <c r="CV19" i="1"/>
  <c r="CV21" i="1"/>
  <c r="CV22" i="1"/>
  <c r="CV24" i="1"/>
  <c r="CV25" i="1"/>
  <c r="CV27" i="1"/>
  <c r="CV28" i="1"/>
  <c r="CV30" i="1"/>
  <c r="CV31" i="1"/>
  <c r="CV33" i="1"/>
  <c r="CV34" i="1"/>
  <c r="BD38" i="2"/>
  <c r="BD35" i="2"/>
  <c r="BD32" i="2"/>
  <c r="BD29" i="2"/>
  <c r="BD26" i="2"/>
  <c r="BD18" i="2"/>
  <c r="BD12" i="2"/>
  <c r="CU8" i="1"/>
  <c r="CU9" i="1"/>
  <c r="CU10" i="1"/>
  <c r="CU11" i="1"/>
  <c r="CU13" i="1"/>
  <c r="AN131" i="17" s="1"/>
  <c r="CU14" i="1"/>
  <c r="CU15" i="1"/>
  <c r="AN106" i="17" s="1"/>
  <c r="CU16" i="1"/>
  <c r="CU17" i="1"/>
  <c r="CU18" i="1"/>
  <c r="CU19" i="1"/>
  <c r="CU21" i="1"/>
  <c r="CU22" i="1"/>
  <c r="CU24" i="1"/>
  <c r="CU25" i="1"/>
  <c r="CU27" i="1"/>
  <c r="CU28" i="1"/>
  <c r="CU30" i="1"/>
  <c r="CU31" i="1"/>
  <c r="CU33" i="1"/>
  <c r="CU34" i="1"/>
  <c r="BC35" i="2"/>
  <c r="BC38" i="2"/>
  <c r="BC26" i="2"/>
  <c r="BC29" i="2"/>
  <c r="BC32" i="2"/>
  <c r="BC12" i="2"/>
  <c r="BC18" i="2"/>
  <c r="E49" i="17"/>
  <c r="E48" i="17"/>
  <c r="E47" i="17"/>
  <c r="E46" i="17"/>
  <c r="T90" i="10"/>
  <c r="S90" i="10"/>
  <c r="T89" i="10"/>
  <c r="S89" i="10"/>
  <c r="T88" i="10"/>
  <c r="S88" i="10"/>
  <c r="T87" i="10"/>
  <c r="S87" i="10"/>
  <c r="T86" i="10"/>
  <c r="S86" i="10"/>
  <c r="T85" i="10"/>
  <c r="S85" i="10"/>
  <c r="T84" i="10"/>
  <c r="S84" i="10"/>
  <c r="T83" i="10"/>
  <c r="S83" i="10"/>
  <c r="T82" i="10"/>
  <c r="S82" i="10"/>
  <c r="T81" i="10"/>
  <c r="S81" i="10"/>
  <c r="T80" i="10"/>
  <c r="S80" i="10"/>
  <c r="T79" i="10"/>
  <c r="S79" i="10"/>
  <c r="T78" i="10"/>
  <c r="S78" i="10"/>
  <c r="T278" i="10"/>
  <c r="S278" i="10"/>
  <c r="T277" i="10"/>
  <c r="S277" i="10"/>
  <c r="T276" i="10"/>
  <c r="S276" i="10"/>
  <c r="T275" i="10"/>
  <c r="S275" i="10"/>
  <c r="T274" i="10"/>
  <c r="S274" i="10"/>
  <c r="T273" i="10"/>
  <c r="S273" i="10"/>
  <c r="T272" i="10"/>
  <c r="S272" i="10"/>
  <c r="T271" i="10"/>
  <c r="S271" i="10"/>
  <c r="T270" i="10"/>
  <c r="S270" i="10"/>
  <c r="T269" i="10"/>
  <c r="S269" i="10"/>
  <c r="T268" i="10"/>
  <c r="S268" i="10"/>
  <c r="T267" i="10"/>
  <c r="S267" i="10"/>
  <c r="T266" i="10"/>
  <c r="S266" i="10"/>
  <c r="T424" i="10"/>
  <c r="S424" i="10"/>
  <c r="T423" i="10"/>
  <c r="S423" i="10"/>
  <c r="T422" i="10"/>
  <c r="S422" i="10"/>
  <c r="T421" i="10"/>
  <c r="S421" i="10"/>
  <c r="T420" i="10"/>
  <c r="S420" i="10"/>
  <c r="T419" i="10"/>
  <c r="S419" i="10"/>
  <c r="T418" i="10"/>
  <c r="S418" i="10"/>
  <c r="T417" i="10"/>
  <c r="S417" i="10"/>
  <c r="T416" i="10"/>
  <c r="S416" i="10"/>
  <c r="T415" i="10"/>
  <c r="S415" i="10"/>
  <c r="T414" i="10"/>
  <c r="S414" i="10"/>
  <c r="T413" i="10"/>
  <c r="S413" i="10"/>
  <c r="T412" i="10"/>
  <c r="S412" i="10"/>
  <c r="T716" i="10"/>
  <c r="S716" i="10"/>
  <c r="T715" i="10"/>
  <c r="S715" i="10"/>
  <c r="T714" i="10"/>
  <c r="S714" i="10"/>
  <c r="T713" i="10"/>
  <c r="S713" i="10"/>
  <c r="T712" i="10"/>
  <c r="S712" i="10"/>
  <c r="T711" i="10"/>
  <c r="S711" i="10"/>
  <c r="T710" i="10"/>
  <c r="S710" i="10"/>
  <c r="T709" i="10"/>
  <c r="S709" i="10"/>
  <c r="T708" i="10"/>
  <c r="S708" i="10"/>
  <c r="T707" i="10"/>
  <c r="S707" i="10"/>
  <c r="T706" i="10"/>
  <c r="S706" i="10"/>
  <c r="T705" i="10"/>
  <c r="S705" i="10"/>
  <c r="T704" i="10"/>
  <c r="S704" i="10"/>
  <c r="BA25" i="2"/>
  <c r="BN25" i="2"/>
  <c r="M388" i="3"/>
  <c r="L388" i="3"/>
  <c r="M387" i="3"/>
  <c r="L387" i="3"/>
  <c r="M386" i="3"/>
  <c r="L386" i="3"/>
  <c r="M385" i="3"/>
  <c r="L385" i="3"/>
  <c r="M384" i="3"/>
  <c r="L384" i="3"/>
  <c r="M383" i="3"/>
  <c r="L383" i="3"/>
  <c r="M382" i="3"/>
  <c r="L382" i="3"/>
  <c r="M381" i="3"/>
  <c r="L381" i="3"/>
  <c r="M380" i="3"/>
  <c r="L380" i="3"/>
  <c r="M379" i="3"/>
  <c r="L379" i="3"/>
  <c r="M378" i="3"/>
  <c r="L378" i="3"/>
  <c r="M377" i="3"/>
  <c r="L377" i="3"/>
  <c r="M376" i="3"/>
  <c r="L376" i="3"/>
  <c r="M233" i="3"/>
  <c r="L233" i="3"/>
  <c r="M232" i="3"/>
  <c r="L232" i="3"/>
  <c r="M231" i="3"/>
  <c r="L231" i="3"/>
  <c r="M230" i="3"/>
  <c r="L230" i="3"/>
  <c r="M229" i="3"/>
  <c r="L229" i="3"/>
  <c r="M228" i="3"/>
  <c r="L228" i="3"/>
  <c r="M227" i="3"/>
  <c r="L227" i="3"/>
  <c r="M226" i="3"/>
  <c r="L226" i="3"/>
  <c r="M225" i="3"/>
  <c r="L225" i="3"/>
  <c r="M224" i="3"/>
  <c r="L224" i="3"/>
  <c r="M223" i="3"/>
  <c r="L223" i="3"/>
  <c r="M222" i="3"/>
  <c r="L222" i="3"/>
  <c r="M221" i="3"/>
  <c r="L221" i="3"/>
  <c r="M152" i="3"/>
  <c r="L152" i="3"/>
  <c r="M151" i="3"/>
  <c r="L151" i="3"/>
  <c r="M150" i="3"/>
  <c r="L150" i="3"/>
  <c r="M149" i="3"/>
  <c r="L149" i="3"/>
  <c r="M148" i="3"/>
  <c r="L148" i="3"/>
  <c r="M147" i="3"/>
  <c r="L147" i="3"/>
  <c r="M146" i="3"/>
  <c r="L146" i="3"/>
  <c r="M145" i="3"/>
  <c r="L145" i="3"/>
  <c r="M144" i="3"/>
  <c r="L144" i="3"/>
  <c r="M143" i="3"/>
  <c r="L143" i="3"/>
  <c r="M142" i="3"/>
  <c r="L142" i="3"/>
  <c r="M141" i="3"/>
  <c r="L141" i="3"/>
  <c r="M140" i="3"/>
  <c r="L140" i="3"/>
  <c r="M73" i="3"/>
  <c r="L73" i="3"/>
  <c r="M72" i="3"/>
  <c r="L72" i="3"/>
  <c r="M71" i="3"/>
  <c r="L71" i="3"/>
  <c r="M70" i="3"/>
  <c r="L70" i="3"/>
  <c r="M69" i="3"/>
  <c r="L69" i="3"/>
  <c r="M68" i="3"/>
  <c r="L68" i="3"/>
  <c r="M67" i="3"/>
  <c r="L67" i="3"/>
  <c r="M66" i="3"/>
  <c r="L66" i="3"/>
  <c r="M65" i="3"/>
  <c r="L65" i="3"/>
  <c r="M64" i="3"/>
  <c r="L64" i="3"/>
  <c r="M63" i="3"/>
  <c r="L63" i="3"/>
  <c r="L62" i="3"/>
  <c r="M61" i="3"/>
  <c r="L61" i="3"/>
  <c r="J169" i="17" l="1"/>
  <c r="F155" i="10"/>
  <c r="F154" i="10"/>
  <c r="E165" i="17"/>
  <c r="E352" i="10"/>
  <c r="E166" i="17"/>
  <c r="E199" i="17"/>
  <c r="E196" i="17"/>
  <c r="D166" i="17"/>
  <c r="E200" i="17"/>
  <c r="D198" i="17"/>
  <c r="K199" i="17"/>
  <c r="E169" i="17"/>
  <c r="D196" i="17"/>
  <c r="D195" i="17"/>
  <c r="K168" i="17"/>
  <c r="K164" i="17"/>
  <c r="E170" i="17"/>
  <c r="J199" i="17"/>
  <c r="J197" i="17"/>
  <c r="K167" i="17"/>
  <c r="K165" i="17"/>
  <c r="D169" i="17"/>
  <c r="E198" i="17"/>
  <c r="E201" i="17"/>
  <c r="J196" i="17"/>
  <c r="D171" i="17"/>
  <c r="D170" i="17"/>
  <c r="D200" i="17"/>
  <c r="J165" i="17"/>
  <c r="K166" i="17"/>
  <c r="K196" i="17"/>
  <c r="D168" i="17"/>
  <c r="J200" i="17"/>
  <c r="K198" i="17"/>
  <c r="E167" i="17"/>
  <c r="J167" i="17"/>
  <c r="D199" i="17"/>
  <c r="K195" i="17"/>
  <c r="J195" i="17"/>
  <c r="E164" i="17"/>
  <c r="J166" i="17"/>
  <c r="E197" i="17"/>
  <c r="D164" i="17"/>
  <c r="K169" i="17"/>
  <c r="E171" i="17"/>
  <c r="D167" i="17"/>
  <c r="D201" i="17"/>
  <c r="J164" i="17"/>
  <c r="D202" i="17"/>
  <c r="K200" i="17"/>
  <c r="E202" i="17"/>
  <c r="E195" i="17"/>
  <c r="K197" i="17"/>
  <c r="D197" i="17"/>
  <c r="J198" i="17"/>
  <c r="D165" i="17"/>
  <c r="E168" i="17"/>
  <c r="J168" i="17"/>
  <c r="AZ108" i="17"/>
  <c r="BA108" i="17"/>
  <c r="BB108" i="17"/>
  <c r="AZ133" i="17"/>
  <c r="BA133" i="17"/>
  <c r="BB133" i="17"/>
  <c r="F224" i="3"/>
  <c r="F223" i="3"/>
  <c r="F227" i="3"/>
  <c r="F232" i="3"/>
  <c r="F226" i="3"/>
  <c r="F231" i="3"/>
  <c r="F228" i="3"/>
  <c r="F229" i="3"/>
  <c r="F225" i="3"/>
  <c r="F230" i="3"/>
  <c r="F233" i="3"/>
  <c r="CX26" i="1"/>
  <c r="BF9" i="2"/>
  <c r="BF8" i="2" s="1"/>
  <c r="BG5" i="2"/>
  <c r="CX23" i="1"/>
  <c r="CV26" i="1"/>
  <c r="CW26" i="1"/>
  <c r="CW29" i="1"/>
  <c r="CX29" i="1"/>
  <c r="CW20" i="1"/>
  <c r="CW32" i="1"/>
  <c r="CX20" i="1"/>
  <c r="CW23" i="1"/>
  <c r="CV12" i="1"/>
  <c r="CX5" i="1"/>
  <c r="CX32" i="1"/>
  <c r="CV20" i="1"/>
  <c r="CV32" i="1"/>
  <c r="CV29" i="1"/>
  <c r="CV23" i="1"/>
  <c r="CW12" i="1"/>
  <c r="CW6" i="1"/>
  <c r="BE11" i="2"/>
  <c r="CV6" i="1"/>
  <c r="BD11" i="2"/>
  <c r="CU6" i="1"/>
  <c r="BC11" i="2"/>
  <c r="C486" i="10"/>
  <c r="D486" i="10"/>
  <c r="D494" i="10"/>
  <c r="D497" i="10"/>
  <c r="D489" i="10"/>
  <c r="D496" i="10"/>
  <c r="D492" i="10"/>
  <c r="D488" i="10"/>
  <c r="D490" i="10"/>
  <c r="D493" i="10"/>
  <c r="D495" i="10"/>
  <c r="D491" i="10"/>
  <c r="D487" i="10"/>
  <c r="E486" i="10"/>
  <c r="F486" i="10"/>
  <c r="G486" i="10"/>
  <c r="G490" i="10"/>
  <c r="G497" i="10"/>
  <c r="G493" i="10"/>
  <c r="G489" i="10"/>
  <c r="G494" i="10"/>
  <c r="G496" i="10"/>
  <c r="G492" i="10"/>
  <c r="G488" i="10"/>
  <c r="G495" i="10"/>
  <c r="G491" i="10"/>
  <c r="G487" i="10"/>
  <c r="B486" i="10"/>
  <c r="D206" i="10"/>
  <c r="H49" i="17" l="1"/>
  <c r="H48" i="17"/>
  <c r="H47" i="17"/>
  <c r="J79" i="10"/>
  <c r="BE9" i="2"/>
  <c r="BE8" i="2" s="1"/>
  <c r="BC9" i="2"/>
  <c r="BC8" i="2" s="1"/>
  <c r="CV5" i="1"/>
  <c r="BF5" i="2"/>
  <c r="BD9" i="2"/>
  <c r="BD8" i="2" s="1"/>
  <c r="CW5" i="1"/>
  <c r="J488" i="10"/>
  <c r="J492" i="10"/>
  <c r="H486" i="10"/>
  <c r="G498" i="10"/>
  <c r="J493" i="10"/>
  <c r="D498" i="10"/>
  <c r="J487" i="10"/>
  <c r="J490" i="10"/>
  <c r="J489" i="10"/>
  <c r="J491" i="10"/>
  <c r="J497" i="10"/>
  <c r="J495" i="10"/>
  <c r="J494" i="10"/>
  <c r="J496" i="10"/>
  <c r="J486" i="10"/>
  <c r="I486" i="10"/>
  <c r="BD5" i="2" l="1"/>
  <c r="BC5" i="2"/>
  <c r="BE5" i="2"/>
  <c r="BB29" i="2"/>
  <c r="CU23" i="1" l="1"/>
  <c r="BN38" i="2"/>
  <c r="BB38" i="2"/>
  <c r="BN35" i="2"/>
  <c r="BB35" i="2"/>
  <c r="CU29" i="1" s="1"/>
  <c r="BN32" i="2"/>
  <c r="BB32" i="2"/>
  <c r="BN29" i="2"/>
  <c r="BN26" i="2"/>
  <c r="BB26" i="2"/>
  <c r="CU20" i="1" s="1"/>
  <c r="BN18" i="2"/>
  <c r="BB18" i="2"/>
  <c r="BN12" i="2"/>
  <c r="BB12" i="2"/>
  <c r="BN5" i="2"/>
  <c r="CS7" i="1"/>
  <c r="CS8" i="1"/>
  <c r="CS9" i="1"/>
  <c r="CS10" i="1"/>
  <c r="CS11" i="1"/>
  <c r="CS13" i="1"/>
  <c r="AL131" i="17" s="1"/>
  <c r="CS14" i="1"/>
  <c r="CS15" i="1"/>
  <c r="AL106" i="17" s="1"/>
  <c r="CS16" i="1"/>
  <c r="CS17" i="1"/>
  <c r="CS18" i="1"/>
  <c r="CS19" i="1"/>
  <c r="CS21" i="1"/>
  <c r="CS22" i="1"/>
  <c r="CS24" i="1"/>
  <c r="CS25" i="1"/>
  <c r="CS27" i="1"/>
  <c r="CS28" i="1"/>
  <c r="CS30" i="1"/>
  <c r="CS31" i="1"/>
  <c r="CS33" i="1"/>
  <c r="CS34" i="1"/>
  <c r="AZ12" i="2"/>
  <c r="AZ18" i="2"/>
  <c r="AZ26" i="2"/>
  <c r="AZ29" i="2"/>
  <c r="AZ32" i="2"/>
  <c r="AZ35" i="2"/>
  <c r="AZ38" i="2"/>
  <c r="CR7" i="1"/>
  <c r="CR8" i="1"/>
  <c r="CR9" i="1"/>
  <c r="CR10" i="1"/>
  <c r="CR11" i="1"/>
  <c r="CR13" i="1"/>
  <c r="AK131" i="17" s="1"/>
  <c r="CR14" i="1"/>
  <c r="CR15" i="1"/>
  <c r="AK106" i="17" s="1"/>
  <c r="CR16" i="1"/>
  <c r="CR17" i="1"/>
  <c r="CR18" i="1"/>
  <c r="CR19" i="1"/>
  <c r="CR21" i="1"/>
  <c r="CR22" i="1"/>
  <c r="CR24" i="1"/>
  <c r="CR25" i="1"/>
  <c r="CR27" i="1"/>
  <c r="CR28" i="1"/>
  <c r="CR30" i="1"/>
  <c r="CR31" i="1"/>
  <c r="CR33" i="1"/>
  <c r="CR34" i="1"/>
  <c r="AW108" i="17" l="1"/>
  <c r="AX108" i="17"/>
  <c r="AW133" i="17"/>
  <c r="AX133" i="17"/>
  <c r="CU12" i="1"/>
  <c r="CU26" i="1"/>
  <c r="CU32" i="1"/>
  <c r="F496" i="10"/>
  <c r="C496" i="10"/>
  <c r="F497" i="10"/>
  <c r="C497" i="10"/>
  <c r="C269" i="3"/>
  <c r="C264" i="3"/>
  <c r="C265" i="3"/>
  <c r="C266" i="3"/>
  <c r="C272" i="3"/>
  <c r="C267" i="3"/>
  <c r="C262" i="3"/>
  <c r="C270" i="3"/>
  <c r="C271" i="3"/>
  <c r="C268" i="3"/>
  <c r="C263" i="3"/>
  <c r="C261" i="3"/>
  <c r="BB11" i="2"/>
  <c r="CS6" i="1"/>
  <c r="BN11" i="2"/>
  <c r="CR6" i="1"/>
  <c r="AZ11" i="2"/>
  <c r="AY38" i="2"/>
  <c r="AY35" i="2"/>
  <c r="CS29" i="1" s="1"/>
  <c r="AY32" i="2"/>
  <c r="AY29" i="2"/>
  <c r="AY26" i="2"/>
  <c r="CS20" i="1" s="1"/>
  <c r="AY18" i="2"/>
  <c r="CS12" i="1" s="1"/>
  <c r="AY12" i="2"/>
  <c r="CQ7" i="1"/>
  <c r="CQ8" i="1"/>
  <c r="CQ9" i="1"/>
  <c r="CQ10" i="1"/>
  <c r="CQ11" i="1"/>
  <c r="CQ13" i="1"/>
  <c r="AJ131" i="17" s="1"/>
  <c r="CQ14" i="1"/>
  <c r="CQ15" i="1"/>
  <c r="AJ106" i="17" s="1"/>
  <c r="CQ16" i="1"/>
  <c r="CQ17" i="1"/>
  <c r="CQ18" i="1"/>
  <c r="CQ19" i="1"/>
  <c r="CQ21" i="1"/>
  <c r="CQ22" i="1"/>
  <c r="CQ24" i="1"/>
  <c r="CQ25" i="1"/>
  <c r="CQ27" i="1"/>
  <c r="CQ28" i="1"/>
  <c r="CQ30" i="1"/>
  <c r="CQ31" i="1"/>
  <c r="CQ33" i="1"/>
  <c r="CQ34" i="1"/>
  <c r="AX38" i="2"/>
  <c r="AX35" i="2"/>
  <c r="AX32" i="2"/>
  <c r="AX29" i="2"/>
  <c r="AX26" i="2"/>
  <c r="AX18" i="2"/>
  <c r="AX12" i="2"/>
  <c r="I49" i="17" a="1"/>
  <c r="H46" i="17" l="1"/>
  <c r="AV108" i="17"/>
  <c r="AV133" i="17"/>
  <c r="F23" i="3"/>
  <c r="J80" i="10"/>
  <c r="CU5" i="1"/>
  <c r="I497" i="10"/>
  <c r="I496" i="10"/>
  <c r="C495" i="10"/>
  <c r="F495" i="10"/>
  <c r="B270" i="3"/>
  <c r="B271" i="3"/>
  <c r="E272" i="3"/>
  <c r="F272" i="3" s="1"/>
  <c r="E309" i="3"/>
  <c r="E264" i="3"/>
  <c r="F264" i="3" s="1"/>
  <c r="E301" i="3"/>
  <c r="BN9" i="2"/>
  <c r="E267" i="3"/>
  <c r="F267" i="3" s="1"/>
  <c r="E304" i="3"/>
  <c r="E270" i="3"/>
  <c r="F270" i="3" s="1"/>
  <c r="E307" i="3"/>
  <c r="CS32" i="1"/>
  <c r="E263" i="3"/>
  <c r="F263" i="3" s="1"/>
  <c r="E300" i="3"/>
  <c r="E268" i="3"/>
  <c r="F268" i="3" s="1"/>
  <c r="E305" i="3"/>
  <c r="E269" i="3"/>
  <c r="F269" i="3" s="1"/>
  <c r="E306" i="3"/>
  <c r="E271" i="3"/>
  <c r="F271" i="3" s="1"/>
  <c r="E308" i="3"/>
  <c r="E262" i="3"/>
  <c r="F262" i="3" s="1"/>
  <c r="E299" i="3"/>
  <c r="CS23" i="1"/>
  <c r="AZ9" i="2"/>
  <c r="AZ8" i="2" s="1"/>
  <c r="E261" i="3"/>
  <c r="F261" i="3" s="1"/>
  <c r="E298" i="3"/>
  <c r="E266" i="3"/>
  <c r="F266" i="3" s="1"/>
  <c r="E303" i="3"/>
  <c r="E265" i="3"/>
  <c r="F265" i="3" s="1"/>
  <c r="E302" i="3"/>
  <c r="I49" i="17"/>
  <c r="C298" i="3"/>
  <c r="C301" i="3"/>
  <c r="J87" i="10"/>
  <c r="J81" i="10"/>
  <c r="J83" i="10"/>
  <c r="J82" i="10"/>
  <c r="J85" i="10"/>
  <c r="J84" i="10"/>
  <c r="J86" i="10"/>
  <c r="J88" i="10"/>
  <c r="J90" i="10"/>
  <c r="J89" i="10"/>
  <c r="C299" i="3"/>
  <c r="C302" i="3"/>
  <c r="C309" i="3"/>
  <c r="C306" i="3"/>
  <c r="C305" i="3"/>
  <c r="C307" i="3"/>
  <c r="C303" i="3"/>
  <c r="C308" i="3"/>
  <c r="C300" i="3"/>
  <c r="C304" i="3"/>
  <c r="BB9" i="2"/>
  <c r="BB8" i="2" s="1"/>
  <c r="CS5" i="1"/>
  <c r="CR26" i="1"/>
  <c r="CS26" i="1"/>
  <c r="CR12" i="1"/>
  <c r="CR29" i="1"/>
  <c r="CR20" i="1"/>
  <c r="CR32" i="1"/>
  <c r="CR23" i="1"/>
  <c r="AY11" i="2"/>
  <c r="CQ6" i="1"/>
  <c r="AX11" i="2"/>
  <c r="CP7" i="1"/>
  <c r="CP8" i="1"/>
  <c r="CP9" i="1"/>
  <c r="CP10" i="1"/>
  <c r="CP11" i="1"/>
  <c r="CP13" i="1"/>
  <c r="AI131" i="17" s="1"/>
  <c r="CP14" i="1"/>
  <c r="CP15" i="1"/>
  <c r="AI106" i="17" s="1"/>
  <c r="CP16" i="1"/>
  <c r="CP17" i="1"/>
  <c r="CP18" i="1"/>
  <c r="CP19" i="1"/>
  <c r="CP21" i="1"/>
  <c r="CP22" i="1"/>
  <c r="CP24" i="1"/>
  <c r="CP25" i="1"/>
  <c r="CP27" i="1"/>
  <c r="CP28" i="1"/>
  <c r="CP30" i="1"/>
  <c r="CP31" i="1"/>
  <c r="CP33" i="1"/>
  <c r="CP34" i="1"/>
  <c r="AW38" i="2"/>
  <c r="AW35" i="2"/>
  <c r="CQ29" i="1" s="1"/>
  <c r="AW32" i="2"/>
  <c r="AW29" i="2"/>
  <c r="AW26" i="2"/>
  <c r="CQ20" i="1" s="1"/>
  <c r="AW18" i="2"/>
  <c r="CQ12" i="1" s="1"/>
  <c r="AW12" i="2"/>
  <c r="I46" i="17" a="1"/>
  <c r="I48" i="17" a="1"/>
  <c r="I47" i="17" a="1"/>
  <c r="AU108" i="17" l="1"/>
  <c r="AU133" i="17"/>
  <c r="AZ5" i="2"/>
  <c r="BB5" i="2"/>
  <c r="F305" i="3"/>
  <c r="F300" i="3"/>
  <c r="F309" i="3"/>
  <c r="F308" i="3"/>
  <c r="F306" i="3"/>
  <c r="F298" i="3"/>
  <c r="F494" i="10"/>
  <c r="C494" i="10"/>
  <c r="B269" i="3"/>
  <c r="AX9" i="2"/>
  <c r="AX8" i="2" s="1"/>
  <c r="CQ32" i="1"/>
  <c r="F304" i="3"/>
  <c r="F307" i="3"/>
  <c r="F302" i="3"/>
  <c r="CQ26" i="1"/>
  <c r="CR5" i="1"/>
  <c r="F303" i="3"/>
  <c r="CQ23" i="1"/>
  <c r="F299" i="3"/>
  <c r="F301" i="3"/>
  <c r="I495" i="10"/>
  <c r="I48" i="17"/>
  <c r="I47" i="17"/>
  <c r="I46" i="17"/>
  <c r="AY9" i="2"/>
  <c r="AY8" i="2" s="1"/>
  <c r="CQ5" i="1"/>
  <c r="CP6" i="1"/>
  <c r="AW11" i="2"/>
  <c r="AY5" i="2" l="1"/>
  <c r="AX5" i="2"/>
  <c r="AW9" i="2"/>
  <c r="AW8" i="2" s="1"/>
  <c r="I494" i="10"/>
  <c r="CO7" i="1"/>
  <c r="CO8" i="1"/>
  <c r="CO9" i="1"/>
  <c r="CO10" i="1"/>
  <c r="CO11" i="1"/>
  <c r="CO13" i="1"/>
  <c r="AH131" i="17" s="1"/>
  <c r="CO14" i="1"/>
  <c r="CO15" i="1"/>
  <c r="AH106" i="17" s="1"/>
  <c r="CO16" i="1"/>
  <c r="CO17" i="1"/>
  <c r="CO18" i="1"/>
  <c r="CO19" i="1"/>
  <c r="CO21" i="1"/>
  <c r="CO22" i="1"/>
  <c r="CO24" i="1"/>
  <c r="CO25" i="1"/>
  <c r="CO27" i="1"/>
  <c r="CO28" i="1"/>
  <c r="CO30" i="1"/>
  <c r="CO31" i="1"/>
  <c r="CO33" i="1"/>
  <c r="CO34" i="1"/>
  <c r="AV38" i="2"/>
  <c r="AV35" i="2"/>
  <c r="CP29" i="1" s="1"/>
  <c r="AV32" i="2"/>
  <c r="AV29" i="2"/>
  <c r="AV26" i="2"/>
  <c r="CP20" i="1" s="1"/>
  <c r="AV18" i="2"/>
  <c r="CP12" i="1" s="1"/>
  <c r="AV12" i="2"/>
  <c r="AT108" i="17" l="1"/>
  <c r="AT133" i="17"/>
  <c r="AW5" i="2"/>
  <c r="B268" i="3"/>
  <c r="F493" i="10"/>
  <c r="C493" i="10"/>
  <c r="CP23" i="1"/>
  <c r="CP26" i="1"/>
  <c r="CP5" i="1"/>
  <c r="CP32" i="1"/>
  <c r="CO6" i="1"/>
  <c r="AV11" i="2"/>
  <c r="N705" i="10"/>
  <c r="O705" i="10"/>
  <c r="P705" i="10"/>
  <c r="Q705" i="10"/>
  <c r="R705" i="10"/>
  <c r="N706" i="10"/>
  <c r="O706" i="10"/>
  <c r="P706" i="10"/>
  <c r="Q706" i="10"/>
  <c r="R706" i="10"/>
  <c r="N707" i="10"/>
  <c r="O707" i="10"/>
  <c r="P707" i="10"/>
  <c r="Q707" i="10"/>
  <c r="R707" i="10"/>
  <c r="N708" i="10"/>
  <c r="O708" i="10"/>
  <c r="P708" i="10"/>
  <c r="Q708" i="10"/>
  <c r="R708" i="10"/>
  <c r="N709" i="10"/>
  <c r="O709" i="10"/>
  <c r="P709" i="10"/>
  <c r="Q709" i="10"/>
  <c r="R709" i="10"/>
  <c r="N710" i="10"/>
  <c r="O710" i="10"/>
  <c r="P710" i="10"/>
  <c r="Q710" i="10"/>
  <c r="R710" i="10"/>
  <c r="N711" i="10"/>
  <c r="O711" i="10"/>
  <c r="P711" i="10"/>
  <c r="Q711" i="10"/>
  <c r="R711" i="10"/>
  <c r="N712" i="10"/>
  <c r="O712" i="10"/>
  <c r="P712" i="10"/>
  <c r="Q712" i="10"/>
  <c r="R712" i="10"/>
  <c r="N713" i="10"/>
  <c r="O713" i="10"/>
  <c r="P713" i="10"/>
  <c r="Q713" i="10"/>
  <c r="R713" i="10"/>
  <c r="N714" i="10"/>
  <c r="O714" i="10"/>
  <c r="P714" i="10"/>
  <c r="Q714" i="10"/>
  <c r="R714" i="10"/>
  <c r="N715" i="10"/>
  <c r="O715" i="10"/>
  <c r="P715" i="10"/>
  <c r="Q715" i="10"/>
  <c r="R715" i="10"/>
  <c r="N716" i="10"/>
  <c r="O716" i="10"/>
  <c r="P716" i="10"/>
  <c r="Q716" i="10"/>
  <c r="R716" i="10"/>
  <c r="O704" i="10"/>
  <c r="P704" i="10"/>
  <c r="Q704" i="10"/>
  <c r="R704" i="10"/>
  <c r="N704" i="10"/>
  <c r="N413" i="10"/>
  <c r="O413" i="10"/>
  <c r="P413" i="10"/>
  <c r="Q413" i="10"/>
  <c r="R413" i="10"/>
  <c r="N414" i="10"/>
  <c r="O414" i="10"/>
  <c r="P414" i="10"/>
  <c r="Q414" i="10"/>
  <c r="R414" i="10"/>
  <c r="N415" i="10"/>
  <c r="O415" i="10"/>
  <c r="P415" i="10"/>
  <c r="Q415" i="10"/>
  <c r="R415" i="10"/>
  <c r="N416" i="10"/>
  <c r="O416" i="10"/>
  <c r="P416" i="10"/>
  <c r="Q416" i="10"/>
  <c r="R416" i="10"/>
  <c r="N417" i="10"/>
  <c r="O417" i="10"/>
  <c r="P417" i="10"/>
  <c r="Q417" i="10"/>
  <c r="R417" i="10"/>
  <c r="N418" i="10"/>
  <c r="O418" i="10"/>
  <c r="P418" i="10"/>
  <c r="Q418" i="10"/>
  <c r="R418" i="10"/>
  <c r="N419" i="10"/>
  <c r="O419" i="10"/>
  <c r="P419" i="10"/>
  <c r="Q419" i="10"/>
  <c r="R419" i="10"/>
  <c r="N420" i="10"/>
  <c r="O420" i="10"/>
  <c r="P420" i="10"/>
  <c r="Q420" i="10"/>
  <c r="R420" i="10"/>
  <c r="N421" i="10"/>
  <c r="O421" i="10"/>
  <c r="P421" i="10"/>
  <c r="Q421" i="10"/>
  <c r="R421" i="10"/>
  <c r="N422" i="10"/>
  <c r="O422" i="10"/>
  <c r="P422" i="10"/>
  <c r="Q422" i="10"/>
  <c r="R422" i="10"/>
  <c r="N423" i="10"/>
  <c r="O423" i="10"/>
  <c r="P423" i="10"/>
  <c r="Q423" i="10"/>
  <c r="R423" i="10"/>
  <c r="N424" i="10"/>
  <c r="O424" i="10"/>
  <c r="P424" i="10"/>
  <c r="Q424" i="10"/>
  <c r="R424" i="10"/>
  <c r="O412" i="10"/>
  <c r="P412" i="10"/>
  <c r="Q412" i="10"/>
  <c r="R412" i="10"/>
  <c r="N412" i="10"/>
  <c r="O266" i="10"/>
  <c r="P266" i="10"/>
  <c r="Q266" i="10"/>
  <c r="R266" i="10"/>
  <c r="O267" i="10"/>
  <c r="P267" i="10"/>
  <c r="Q267" i="10"/>
  <c r="R267" i="10"/>
  <c r="O268" i="10"/>
  <c r="P268" i="10"/>
  <c r="Q268" i="10"/>
  <c r="R268" i="10"/>
  <c r="O269" i="10"/>
  <c r="P269" i="10"/>
  <c r="Q269" i="10"/>
  <c r="R269" i="10"/>
  <c r="O270" i="10"/>
  <c r="P270" i="10"/>
  <c r="Q270" i="10"/>
  <c r="R270" i="10"/>
  <c r="O271" i="10"/>
  <c r="P271" i="10"/>
  <c r="Q271" i="10"/>
  <c r="R271" i="10"/>
  <c r="O272" i="10"/>
  <c r="P272" i="10"/>
  <c r="Q272" i="10"/>
  <c r="R272" i="10"/>
  <c r="O273" i="10"/>
  <c r="P273" i="10"/>
  <c r="Q273" i="10"/>
  <c r="R273" i="10"/>
  <c r="O274" i="10"/>
  <c r="P274" i="10"/>
  <c r="Q274" i="10"/>
  <c r="R274" i="10"/>
  <c r="O275" i="10"/>
  <c r="P275" i="10"/>
  <c r="Q275" i="10"/>
  <c r="R275" i="10"/>
  <c r="O276" i="10"/>
  <c r="P276" i="10"/>
  <c r="Q276" i="10"/>
  <c r="R276" i="10"/>
  <c r="O277" i="10"/>
  <c r="P277" i="10"/>
  <c r="Q277" i="10"/>
  <c r="R277" i="10"/>
  <c r="O278" i="10"/>
  <c r="P278" i="10"/>
  <c r="Q278" i="10"/>
  <c r="R278" i="10"/>
  <c r="N267" i="10"/>
  <c r="N268" i="10"/>
  <c r="N269" i="10"/>
  <c r="N270" i="10"/>
  <c r="N271" i="10"/>
  <c r="N272" i="10"/>
  <c r="N273" i="10"/>
  <c r="N274" i="10"/>
  <c r="N275" i="10"/>
  <c r="N276" i="10"/>
  <c r="N277" i="10"/>
  <c r="N278" i="10"/>
  <c r="N266" i="10"/>
  <c r="R79" i="10"/>
  <c r="R80" i="10"/>
  <c r="R81" i="10"/>
  <c r="R82" i="10"/>
  <c r="R83" i="10"/>
  <c r="R84" i="10"/>
  <c r="R85" i="10"/>
  <c r="R86" i="10"/>
  <c r="R87" i="10"/>
  <c r="R88" i="10"/>
  <c r="R89" i="10"/>
  <c r="R90" i="10"/>
  <c r="R78" i="10"/>
  <c r="Q79" i="10"/>
  <c r="Q80" i="10"/>
  <c r="Q81" i="10"/>
  <c r="Q82" i="10"/>
  <c r="Q83" i="10"/>
  <c r="Q84" i="10"/>
  <c r="Q85" i="10"/>
  <c r="Q86" i="10"/>
  <c r="Q87" i="10"/>
  <c r="Q88" i="10"/>
  <c r="Q89" i="10"/>
  <c r="Q90" i="10"/>
  <c r="Q78" i="10"/>
  <c r="P79" i="10"/>
  <c r="P80" i="10"/>
  <c r="P81" i="10"/>
  <c r="P82" i="10"/>
  <c r="P83" i="10"/>
  <c r="P84" i="10"/>
  <c r="P85" i="10"/>
  <c r="P86" i="10"/>
  <c r="P87" i="10"/>
  <c r="P88" i="10"/>
  <c r="P89" i="10"/>
  <c r="P90" i="10"/>
  <c r="P78" i="10"/>
  <c r="O90" i="10"/>
  <c r="O89" i="10"/>
  <c r="O88" i="10"/>
  <c r="O87" i="10"/>
  <c r="O86" i="10"/>
  <c r="O85" i="10"/>
  <c r="O84" i="10"/>
  <c r="O83" i="10"/>
  <c r="O82" i="10"/>
  <c r="O81" i="10"/>
  <c r="O80" i="10"/>
  <c r="O79" i="10"/>
  <c r="O78" i="10"/>
  <c r="N90" i="10"/>
  <c r="N89" i="10"/>
  <c r="N88" i="10"/>
  <c r="N87" i="10"/>
  <c r="N86" i="10"/>
  <c r="N85" i="10"/>
  <c r="N84" i="10"/>
  <c r="N83" i="10"/>
  <c r="N82" i="10"/>
  <c r="N81" i="10"/>
  <c r="N80" i="10"/>
  <c r="N79" i="10"/>
  <c r="N78" i="10"/>
  <c r="J62" i="3"/>
  <c r="J63" i="3"/>
  <c r="J64" i="3"/>
  <c r="J65" i="3"/>
  <c r="J66" i="3"/>
  <c r="J67" i="3"/>
  <c r="J68" i="3"/>
  <c r="J69" i="3"/>
  <c r="J70" i="3"/>
  <c r="J71" i="3"/>
  <c r="J72" i="3"/>
  <c r="J73" i="3"/>
  <c r="H62" i="3"/>
  <c r="H63" i="3"/>
  <c r="H64" i="3"/>
  <c r="H65" i="3"/>
  <c r="H66" i="3"/>
  <c r="H67" i="3"/>
  <c r="H68" i="3"/>
  <c r="H69" i="3"/>
  <c r="H70" i="3"/>
  <c r="H71" i="3"/>
  <c r="H72" i="3"/>
  <c r="H73" i="3"/>
  <c r="H61" i="3"/>
  <c r="J61" i="3"/>
  <c r="J141" i="3"/>
  <c r="J142" i="3"/>
  <c r="J143" i="3"/>
  <c r="J144" i="3"/>
  <c r="J145" i="3"/>
  <c r="J146" i="3"/>
  <c r="J147" i="3"/>
  <c r="J148" i="3"/>
  <c r="J149" i="3"/>
  <c r="J150" i="3"/>
  <c r="J151" i="3"/>
  <c r="J152" i="3"/>
  <c r="H141" i="3"/>
  <c r="H142" i="3"/>
  <c r="H143" i="3"/>
  <c r="H144" i="3"/>
  <c r="H145" i="3"/>
  <c r="H146" i="3"/>
  <c r="H147" i="3"/>
  <c r="H148" i="3"/>
  <c r="H149" i="3"/>
  <c r="H150" i="3"/>
  <c r="H151" i="3"/>
  <c r="H152" i="3"/>
  <c r="H140" i="3"/>
  <c r="J140" i="3"/>
  <c r="H222" i="3"/>
  <c r="H223" i="3"/>
  <c r="H224" i="3"/>
  <c r="H225" i="3"/>
  <c r="H226" i="3"/>
  <c r="H227" i="3"/>
  <c r="H228" i="3"/>
  <c r="H229" i="3"/>
  <c r="H230" i="3"/>
  <c r="H231" i="3"/>
  <c r="H232" i="3"/>
  <c r="H233" i="3"/>
  <c r="H221" i="3"/>
  <c r="J222" i="3"/>
  <c r="J223" i="3"/>
  <c r="J224" i="3"/>
  <c r="J225" i="3"/>
  <c r="J226" i="3"/>
  <c r="J227" i="3"/>
  <c r="J228" i="3"/>
  <c r="J229" i="3"/>
  <c r="J230" i="3"/>
  <c r="J231" i="3"/>
  <c r="J232" i="3"/>
  <c r="J233" i="3"/>
  <c r="J221" i="3"/>
  <c r="J377" i="3"/>
  <c r="H377" i="3"/>
  <c r="H378" i="3"/>
  <c r="H379" i="3"/>
  <c r="H380" i="3"/>
  <c r="H381" i="3"/>
  <c r="H382" i="3"/>
  <c r="H383" i="3"/>
  <c r="H384" i="3"/>
  <c r="H385" i="3"/>
  <c r="H386" i="3"/>
  <c r="H387" i="3"/>
  <c r="H388" i="3"/>
  <c r="H376" i="3"/>
  <c r="J378" i="3"/>
  <c r="J379" i="3"/>
  <c r="J380" i="3"/>
  <c r="J381" i="3"/>
  <c r="J382" i="3"/>
  <c r="J383" i="3"/>
  <c r="J384" i="3"/>
  <c r="J385" i="3"/>
  <c r="J386" i="3"/>
  <c r="J387" i="3"/>
  <c r="J388" i="3"/>
  <c r="J376" i="3"/>
  <c r="I493" i="10" l="1"/>
  <c r="AV9" i="2"/>
  <c r="AV8" i="2" s="1"/>
  <c r="AV5" i="2" l="1"/>
  <c r="I79" i="10"/>
  <c r="I89" i="10"/>
  <c r="H79" i="10"/>
  <c r="I88" i="10"/>
  <c r="I87" i="10"/>
  <c r="H267" i="10"/>
  <c r="I90" i="10"/>
  <c r="I377" i="3"/>
  <c r="I378" i="3"/>
  <c r="I379" i="3"/>
  <c r="I380" i="3"/>
  <c r="I381" i="3"/>
  <c r="I382" i="3"/>
  <c r="I383" i="3"/>
  <c r="I384" i="3"/>
  <c r="I385" i="3"/>
  <c r="I386" i="3"/>
  <c r="I387" i="3"/>
  <c r="I388" i="3"/>
  <c r="K377" i="3"/>
  <c r="K378" i="3"/>
  <c r="K379" i="3"/>
  <c r="K380" i="3"/>
  <c r="K381" i="3"/>
  <c r="K382" i="3"/>
  <c r="K383" i="3"/>
  <c r="K384" i="3"/>
  <c r="K385" i="3"/>
  <c r="K386" i="3"/>
  <c r="K387" i="3"/>
  <c r="K388" i="3"/>
  <c r="K376" i="3"/>
  <c r="I376" i="3"/>
  <c r="I222" i="3"/>
  <c r="K222" i="3"/>
  <c r="I223" i="3"/>
  <c r="K223" i="3"/>
  <c r="I224" i="3"/>
  <c r="K224" i="3"/>
  <c r="I225" i="3"/>
  <c r="K225" i="3"/>
  <c r="I226" i="3"/>
  <c r="K226" i="3"/>
  <c r="I227" i="3"/>
  <c r="K227" i="3"/>
  <c r="I228" i="3"/>
  <c r="K228" i="3"/>
  <c r="I229" i="3"/>
  <c r="K229" i="3"/>
  <c r="I230" i="3"/>
  <c r="K230" i="3"/>
  <c r="I231" i="3"/>
  <c r="K231" i="3"/>
  <c r="I232" i="3"/>
  <c r="K232" i="3"/>
  <c r="I233" i="3"/>
  <c r="K233" i="3"/>
  <c r="K221" i="3"/>
  <c r="I221" i="3"/>
  <c r="I141" i="3"/>
  <c r="K141" i="3"/>
  <c r="I142" i="3"/>
  <c r="K142" i="3"/>
  <c r="I143" i="3"/>
  <c r="K143" i="3"/>
  <c r="I144" i="3"/>
  <c r="K144" i="3"/>
  <c r="I145" i="3"/>
  <c r="K145" i="3"/>
  <c r="I146" i="3"/>
  <c r="K146" i="3"/>
  <c r="I147" i="3"/>
  <c r="K147" i="3"/>
  <c r="I148" i="3"/>
  <c r="K148" i="3"/>
  <c r="I149" i="3"/>
  <c r="K149" i="3"/>
  <c r="I150" i="3"/>
  <c r="K150" i="3"/>
  <c r="I151" i="3"/>
  <c r="K151" i="3"/>
  <c r="I152" i="3"/>
  <c r="K152" i="3"/>
  <c r="K140" i="3"/>
  <c r="I140" i="3"/>
  <c r="K73" i="3"/>
  <c r="I73" i="3"/>
  <c r="K72" i="3"/>
  <c r="I72" i="3"/>
  <c r="K71" i="3"/>
  <c r="I71" i="3"/>
  <c r="K70" i="3"/>
  <c r="I70" i="3"/>
  <c r="K69" i="3"/>
  <c r="I69" i="3"/>
  <c r="K68" i="3"/>
  <c r="I68" i="3"/>
  <c r="K67" i="3"/>
  <c r="I67" i="3"/>
  <c r="K66" i="3"/>
  <c r="I66" i="3"/>
  <c r="K65" i="3"/>
  <c r="I65" i="3"/>
  <c r="K64" i="3"/>
  <c r="I64" i="3"/>
  <c r="K63" i="3"/>
  <c r="I63" i="3"/>
  <c r="K62" i="3"/>
  <c r="I62" i="3"/>
  <c r="K61" i="3"/>
  <c r="I61" i="3"/>
  <c r="B308" i="3" l="1"/>
  <c r="B306" i="3"/>
  <c r="B307" i="3"/>
  <c r="B305" i="3"/>
  <c r="CN7" i="1"/>
  <c r="CN8" i="1"/>
  <c r="CN9" i="1"/>
  <c r="CN10" i="1"/>
  <c r="CN11" i="1"/>
  <c r="CN13" i="1"/>
  <c r="AG131" i="17" s="1"/>
  <c r="CN14" i="1"/>
  <c r="CN15" i="1"/>
  <c r="AG106" i="17" s="1"/>
  <c r="CN16" i="1"/>
  <c r="CN17" i="1"/>
  <c r="CN18" i="1"/>
  <c r="CN19" i="1"/>
  <c r="CN21" i="1"/>
  <c r="CN22" i="1"/>
  <c r="CN24" i="1"/>
  <c r="CN25" i="1"/>
  <c r="CN27" i="1"/>
  <c r="CN28" i="1"/>
  <c r="CN30" i="1"/>
  <c r="CN31" i="1"/>
  <c r="CN33" i="1"/>
  <c r="CN34" i="1"/>
  <c r="AS108" i="17" l="1"/>
  <c r="AS133" i="17"/>
  <c r="C492" i="10"/>
  <c r="F492" i="10"/>
  <c r="CN6" i="1"/>
  <c r="AU18" i="2"/>
  <c r="AU38" i="2"/>
  <c r="AU35" i="2"/>
  <c r="AU32" i="2"/>
  <c r="AU29" i="2"/>
  <c r="AU26" i="2"/>
  <c r="AU12" i="2"/>
  <c r="B267" i="3" l="1"/>
  <c r="I492" i="10"/>
  <c r="CO29" i="1"/>
  <c r="CO23" i="1"/>
  <c r="CO12" i="1"/>
  <c r="CO20" i="1"/>
  <c r="CO32" i="1"/>
  <c r="CO26" i="1"/>
  <c r="AU11" i="2"/>
  <c r="CM7" i="1"/>
  <c r="CM8" i="1"/>
  <c r="CM9" i="1"/>
  <c r="CM10" i="1"/>
  <c r="CM11" i="1"/>
  <c r="CM13" i="1"/>
  <c r="AF131" i="17" s="1"/>
  <c r="CM14" i="1"/>
  <c r="CM15" i="1"/>
  <c r="AF106" i="17" s="1"/>
  <c r="CM16" i="1"/>
  <c r="CM17" i="1"/>
  <c r="CM18" i="1"/>
  <c r="CM19" i="1"/>
  <c r="CM21" i="1"/>
  <c r="CM22" i="1"/>
  <c r="CM24" i="1"/>
  <c r="CM25" i="1"/>
  <c r="CM27" i="1"/>
  <c r="CM28" i="1"/>
  <c r="CM30" i="1"/>
  <c r="CM31" i="1"/>
  <c r="CM33" i="1"/>
  <c r="CM34" i="1"/>
  <c r="AT38" i="2"/>
  <c r="AT35" i="2"/>
  <c r="AT32" i="2"/>
  <c r="AT29" i="2"/>
  <c r="AT26" i="2"/>
  <c r="CN20" i="1" s="1"/>
  <c r="AT18" i="2"/>
  <c r="CN12" i="1" s="1"/>
  <c r="AT12" i="2"/>
  <c r="AR133" i="17" l="1"/>
  <c r="AR108" i="17"/>
  <c r="B304" i="3"/>
  <c r="C491" i="10"/>
  <c r="B266" i="3"/>
  <c r="I85" i="10"/>
  <c r="F491" i="10"/>
  <c r="I86" i="10"/>
  <c r="CN32" i="1"/>
  <c r="CN23" i="1"/>
  <c r="CN26" i="1"/>
  <c r="CN5" i="1"/>
  <c r="AU9" i="2"/>
  <c r="AU8" i="2" s="1"/>
  <c r="CO5" i="1"/>
  <c r="CN29" i="1"/>
  <c r="CM6" i="1"/>
  <c r="AT11" i="2"/>
  <c r="AU5" i="2" l="1"/>
  <c r="I491" i="10"/>
  <c r="B303" i="3"/>
  <c r="AT9" i="2"/>
  <c r="AT8" i="2" s="1"/>
  <c r="AS12" i="2"/>
  <c r="CL7" i="1"/>
  <c r="CL8" i="1"/>
  <c r="CL9" i="1"/>
  <c r="CL10" i="1"/>
  <c r="CL11" i="1"/>
  <c r="CL13" i="1"/>
  <c r="AE131" i="17" s="1"/>
  <c r="CL14" i="1"/>
  <c r="CL15" i="1"/>
  <c r="AE106" i="17" s="1"/>
  <c r="CL16" i="1"/>
  <c r="CL17" i="1"/>
  <c r="CL18" i="1"/>
  <c r="CL19" i="1"/>
  <c r="CL21" i="1"/>
  <c r="CL22" i="1"/>
  <c r="CL24" i="1"/>
  <c r="CL25" i="1"/>
  <c r="CL27" i="1"/>
  <c r="CL28" i="1"/>
  <c r="CL30" i="1"/>
  <c r="CL31" i="1"/>
  <c r="CL33" i="1"/>
  <c r="CL34" i="1"/>
  <c r="AS38" i="2"/>
  <c r="AS35" i="2"/>
  <c r="CM29" i="1" s="1"/>
  <c r="AS32" i="2"/>
  <c r="AS29" i="2"/>
  <c r="AS26" i="2"/>
  <c r="CM20" i="1" s="1"/>
  <c r="AS18" i="2"/>
  <c r="CM12" i="1" s="1"/>
  <c r="AQ133" i="17" l="1"/>
  <c r="AQ108" i="17"/>
  <c r="AT5" i="2"/>
  <c r="B265" i="3"/>
  <c r="F490" i="10"/>
  <c r="I84" i="10"/>
  <c r="C490" i="10"/>
  <c r="CM23" i="1"/>
  <c r="CM26" i="1"/>
  <c r="CM5" i="1"/>
  <c r="CM32" i="1"/>
  <c r="CL6" i="1"/>
  <c r="AS11" i="2"/>
  <c r="CK7" i="1"/>
  <c r="CK8" i="1"/>
  <c r="CK9" i="1"/>
  <c r="CK10" i="1"/>
  <c r="CK11" i="1"/>
  <c r="CK13" i="1"/>
  <c r="AD131" i="17" s="1"/>
  <c r="CK14" i="1"/>
  <c r="CK15" i="1"/>
  <c r="AD106" i="17" s="1"/>
  <c r="CK16" i="1"/>
  <c r="CK17" i="1"/>
  <c r="CK18" i="1"/>
  <c r="CK19" i="1"/>
  <c r="CK21" i="1"/>
  <c r="CK22" i="1"/>
  <c r="CK24" i="1"/>
  <c r="CK25" i="1"/>
  <c r="CK27" i="1"/>
  <c r="CK28" i="1"/>
  <c r="CK30" i="1"/>
  <c r="CK31" i="1"/>
  <c r="CK33" i="1"/>
  <c r="CK34" i="1"/>
  <c r="AR38" i="2"/>
  <c r="AR35" i="2"/>
  <c r="CL29" i="1" s="1"/>
  <c r="AR32" i="2"/>
  <c r="AR29" i="2"/>
  <c r="AR26" i="2"/>
  <c r="CL20" i="1" s="1"/>
  <c r="AR18" i="2"/>
  <c r="AR12" i="2"/>
  <c r="AP108" i="17" l="1"/>
  <c r="AP133" i="17"/>
  <c r="CL12" i="1"/>
  <c r="I490" i="10"/>
  <c r="F489" i="10"/>
  <c r="C489" i="10"/>
  <c r="B264" i="3"/>
  <c r="AS9" i="2"/>
  <c r="AS8" i="2" s="1"/>
  <c r="CL32" i="1"/>
  <c r="B302" i="3"/>
  <c r="CL26" i="1"/>
  <c r="CL23" i="1"/>
  <c r="CK6" i="1"/>
  <c r="AR11" i="2"/>
  <c r="CJ7" i="1"/>
  <c r="CJ8" i="1"/>
  <c r="CJ9" i="1"/>
  <c r="CJ10" i="1"/>
  <c r="CJ11" i="1"/>
  <c r="CJ13" i="1"/>
  <c r="AC131" i="17" s="1"/>
  <c r="CJ14" i="1"/>
  <c r="CJ15" i="1"/>
  <c r="AC106" i="17" s="1"/>
  <c r="CJ16" i="1"/>
  <c r="CJ17" i="1"/>
  <c r="CJ18" i="1"/>
  <c r="CJ19" i="1"/>
  <c r="CJ21" i="1"/>
  <c r="CJ22" i="1"/>
  <c r="CJ24" i="1"/>
  <c r="CJ25" i="1"/>
  <c r="CJ27" i="1"/>
  <c r="CJ28" i="1"/>
  <c r="CJ30" i="1"/>
  <c r="CJ31" i="1"/>
  <c r="CJ33" i="1"/>
  <c r="CJ34" i="1"/>
  <c r="AQ38" i="2"/>
  <c r="AQ35" i="2"/>
  <c r="AQ32" i="2"/>
  <c r="AQ29" i="2"/>
  <c r="AQ26" i="2"/>
  <c r="AQ18" i="2"/>
  <c r="CK12" i="1" s="1"/>
  <c r="AQ12" i="2"/>
  <c r="AO133" i="17" l="1"/>
  <c r="AO108" i="17"/>
  <c r="AS5" i="2"/>
  <c r="CL5" i="1"/>
  <c r="I83" i="10"/>
  <c r="I489" i="10"/>
  <c r="B301" i="3"/>
  <c r="C488" i="10"/>
  <c r="B263" i="3"/>
  <c r="F488" i="10"/>
  <c r="AR9" i="2"/>
  <c r="AR8" i="2" s="1"/>
  <c r="CK23" i="1"/>
  <c r="CK5" i="1"/>
  <c r="CK26" i="1"/>
  <c r="CK20" i="1"/>
  <c r="CK32" i="1"/>
  <c r="CK29" i="1"/>
  <c r="AQ11" i="2"/>
  <c r="CJ6" i="1"/>
  <c r="AR5" i="2" l="1"/>
  <c r="I82" i="10"/>
  <c r="AQ9" i="2"/>
  <c r="AQ8" i="2" s="1"/>
  <c r="B300" i="3"/>
  <c r="I488" i="10"/>
  <c r="CI27" i="1"/>
  <c r="CI34" i="1"/>
  <c r="CI33" i="1"/>
  <c r="CI30" i="1"/>
  <c r="CI31" i="1"/>
  <c r="CI28" i="1"/>
  <c r="CI25" i="1"/>
  <c r="CI24" i="1"/>
  <c r="CI22" i="1"/>
  <c r="CI21" i="1"/>
  <c r="CI14" i="1"/>
  <c r="CI15" i="1"/>
  <c r="AB106" i="17" s="1"/>
  <c r="CI16" i="1"/>
  <c r="CI17" i="1"/>
  <c r="CI18" i="1"/>
  <c r="CI19" i="1"/>
  <c r="CI13" i="1"/>
  <c r="AB131" i="17" s="1"/>
  <c r="CI8" i="1"/>
  <c r="CI9" i="1"/>
  <c r="CI10" i="1"/>
  <c r="CI11" i="1"/>
  <c r="CI7" i="1"/>
  <c r="AP18" i="2"/>
  <c r="CJ12" i="1" s="1"/>
  <c r="AP38" i="2"/>
  <c r="AP35" i="2"/>
  <c r="CJ29" i="1" s="1"/>
  <c r="AP32" i="2"/>
  <c r="AP29" i="2"/>
  <c r="AP26" i="2"/>
  <c r="CJ20" i="1" s="1"/>
  <c r="AP12" i="2"/>
  <c r="AN133" i="17" l="1"/>
  <c r="AN108" i="17"/>
  <c r="AQ5" i="2"/>
  <c r="C206" i="10"/>
  <c r="C487" i="10"/>
  <c r="B262" i="3"/>
  <c r="I81" i="10"/>
  <c r="F487" i="10"/>
  <c r="F498" i="10" s="1"/>
  <c r="CJ26" i="1"/>
  <c r="CJ23" i="1"/>
  <c r="CJ5" i="1"/>
  <c r="CJ32" i="1"/>
  <c r="CI6" i="1"/>
  <c r="AP11" i="2"/>
  <c r="B299" i="3" l="1"/>
  <c r="C498" i="10"/>
  <c r="I487" i="10"/>
  <c r="AP9" i="2"/>
  <c r="AP8" i="2" s="1"/>
  <c r="BA38" i="2"/>
  <c r="BA35" i="2"/>
  <c r="BA32" i="2"/>
  <c r="BA29" i="2"/>
  <c r="BA26" i="2"/>
  <c r="BA18" i="2"/>
  <c r="BA12" i="2"/>
  <c r="AP5" i="2" l="1"/>
  <c r="B272" i="3"/>
  <c r="F148" i="3"/>
  <c r="BA11" i="2"/>
  <c r="AO38" i="2"/>
  <c r="AO35" i="2"/>
  <c r="CI29" i="1" s="1"/>
  <c r="AO32" i="2"/>
  <c r="AO29" i="2"/>
  <c r="AO26" i="2"/>
  <c r="CI20" i="1" s="1"/>
  <c r="AO18" i="2"/>
  <c r="CI12" i="1" s="1"/>
  <c r="AO12" i="2"/>
  <c r="B309" i="3" l="1"/>
  <c r="I80" i="10"/>
  <c r="D269" i="3"/>
  <c r="D306" i="3"/>
  <c r="D266" i="3"/>
  <c r="D303" i="3"/>
  <c r="CI26" i="1"/>
  <c r="D272" i="3"/>
  <c r="D309" i="3"/>
  <c r="CI5" i="1"/>
  <c r="D271" i="3"/>
  <c r="D308" i="3"/>
  <c r="D270" i="3"/>
  <c r="D307" i="3"/>
  <c r="D262" i="3"/>
  <c r="D299" i="3"/>
  <c r="CI32" i="1"/>
  <c r="D261" i="3"/>
  <c r="D298" i="3"/>
  <c r="D267" i="3"/>
  <c r="D304" i="3"/>
  <c r="D268" i="3"/>
  <c r="D305" i="3"/>
  <c r="CI23" i="1"/>
  <c r="D263" i="3"/>
  <c r="D300" i="3"/>
  <c r="D265" i="3"/>
  <c r="D302" i="3"/>
  <c r="D264" i="3"/>
  <c r="D301" i="3"/>
  <c r="F101" i="3"/>
  <c r="AO11" i="2"/>
  <c r="BA5" i="2"/>
  <c r="BA9" i="2"/>
  <c r="CG7" i="1"/>
  <c r="CG8" i="1"/>
  <c r="CG9" i="1"/>
  <c r="CG10" i="1"/>
  <c r="CG11" i="1"/>
  <c r="CG13" i="1"/>
  <c r="Z131" i="17" s="1"/>
  <c r="AL133" i="17" s="1"/>
  <c r="CG14" i="1"/>
  <c r="CG15" i="1"/>
  <c r="Z106" i="17" s="1"/>
  <c r="AL108" i="17" s="1"/>
  <c r="CG16" i="1"/>
  <c r="CG17" i="1"/>
  <c r="CG18" i="1"/>
  <c r="CG19" i="1"/>
  <c r="CG21" i="1"/>
  <c r="CG22" i="1"/>
  <c r="CG24" i="1"/>
  <c r="CG25" i="1"/>
  <c r="CG27" i="1"/>
  <c r="CG28" i="1"/>
  <c r="CG30" i="1"/>
  <c r="CG31" i="1"/>
  <c r="CG33" i="1"/>
  <c r="CG34" i="1"/>
  <c r="AM38" i="2"/>
  <c r="AM35" i="2"/>
  <c r="AM32" i="2"/>
  <c r="AM29" i="2"/>
  <c r="AM26" i="2"/>
  <c r="AM18" i="2"/>
  <c r="AM12" i="2"/>
  <c r="B298" i="3" l="1"/>
  <c r="E497" i="10"/>
  <c r="AO9" i="2"/>
  <c r="AO8" i="2" s="1"/>
  <c r="AM11" i="2"/>
  <c r="AM9" i="2" s="1"/>
  <c r="CG6" i="1"/>
  <c r="AM8" i="2" l="1"/>
  <c r="AM5" i="2" s="1"/>
  <c r="AO5" i="2"/>
  <c r="CF7" i="1"/>
  <c r="CF8" i="1"/>
  <c r="CF9" i="1"/>
  <c r="CF10" i="1"/>
  <c r="CF11" i="1"/>
  <c r="CF13" i="1"/>
  <c r="Y131" i="17" s="1"/>
  <c r="AK133" i="17" s="1"/>
  <c r="CF14" i="1"/>
  <c r="CF15" i="1"/>
  <c r="Y106" i="17" s="1"/>
  <c r="AK108" i="17" s="1"/>
  <c r="CF16" i="1"/>
  <c r="CF17" i="1"/>
  <c r="CF18" i="1"/>
  <c r="CF19" i="1"/>
  <c r="CF21" i="1"/>
  <c r="CF22" i="1"/>
  <c r="CF24" i="1"/>
  <c r="CF25" i="1"/>
  <c r="CF27" i="1"/>
  <c r="CF28" i="1"/>
  <c r="CF30" i="1"/>
  <c r="CF31" i="1"/>
  <c r="CF33" i="1"/>
  <c r="CF34" i="1"/>
  <c r="AL18" i="2"/>
  <c r="CG12" i="1" s="1"/>
  <c r="AL38" i="2"/>
  <c r="CG32" i="1" s="1"/>
  <c r="AL35" i="2"/>
  <c r="CG29" i="1" s="1"/>
  <c r="AL32" i="2"/>
  <c r="CG26" i="1" s="1"/>
  <c r="AL29" i="2"/>
  <c r="CG23" i="1" s="1"/>
  <c r="AL26" i="2"/>
  <c r="CG20" i="1" s="1"/>
  <c r="AL12" i="2"/>
  <c r="E496" i="10" l="1"/>
  <c r="H90" i="10"/>
  <c r="CG5" i="1"/>
  <c r="AL11" i="2"/>
  <c r="AL9" i="2" s="1"/>
  <c r="CF6" i="1"/>
  <c r="CE7" i="1"/>
  <c r="CE8" i="1"/>
  <c r="CE9" i="1"/>
  <c r="CE10" i="1"/>
  <c r="CE11" i="1"/>
  <c r="CE13" i="1"/>
  <c r="X131" i="17" s="1"/>
  <c r="AJ133" i="17" s="1"/>
  <c r="CE14" i="1"/>
  <c r="CE15" i="1"/>
  <c r="X106" i="17" s="1"/>
  <c r="AJ108" i="17" s="1"/>
  <c r="CE16" i="1"/>
  <c r="CE17" i="1"/>
  <c r="CE18" i="1"/>
  <c r="CE19" i="1"/>
  <c r="CE21" i="1"/>
  <c r="CE22" i="1"/>
  <c r="CE24" i="1"/>
  <c r="CE25" i="1"/>
  <c r="CE27" i="1"/>
  <c r="CE28" i="1"/>
  <c r="CE30" i="1"/>
  <c r="CE31" i="1"/>
  <c r="CE33" i="1"/>
  <c r="CE34" i="1"/>
  <c r="AK38" i="2"/>
  <c r="CF32" i="1" s="1"/>
  <c r="AK35" i="2"/>
  <c r="CF29" i="1" s="1"/>
  <c r="AK32" i="2"/>
  <c r="CF26" i="1" s="1"/>
  <c r="AK29" i="2"/>
  <c r="CF23" i="1" s="1"/>
  <c r="AK26" i="2"/>
  <c r="CF20" i="1" s="1"/>
  <c r="AK18" i="2"/>
  <c r="CF12" i="1" s="1"/>
  <c r="AK12" i="2"/>
  <c r="AL8" i="2" l="1"/>
  <c r="AL5" i="2" s="1"/>
  <c r="E495" i="10"/>
  <c r="AK11" i="2"/>
  <c r="CF5" i="1"/>
  <c r="F378" i="3"/>
  <c r="F384" i="3"/>
  <c r="F34" i="3"/>
  <c r="F192" i="3"/>
  <c r="F382" i="3"/>
  <c r="F191" i="3"/>
  <c r="F380" i="3"/>
  <c r="F152" i="3"/>
  <c r="F112" i="3"/>
  <c r="F385" i="3"/>
  <c r="F150" i="3"/>
  <c r="F388" i="3"/>
  <c r="F347" i="3"/>
  <c r="F386" i="3"/>
  <c r="F33" i="3"/>
  <c r="F151" i="3"/>
  <c r="F111" i="3"/>
  <c r="F383" i="3"/>
  <c r="F387" i="3"/>
  <c r="F346" i="3"/>
  <c r="F381" i="3"/>
  <c r="F379" i="3"/>
  <c r="F32" i="3"/>
  <c r="F345" i="3"/>
  <c r="F110" i="3"/>
  <c r="F190" i="3"/>
  <c r="CE6" i="1"/>
  <c r="H89" i="10" l="1"/>
  <c r="G206" i="10"/>
  <c r="J347" i="10"/>
  <c r="J641" i="10"/>
  <c r="J636" i="10"/>
  <c r="J351" i="10"/>
  <c r="J203" i="10"/>
  <c r="I351" i="10"/>
  <c r="J8" i="10"/>
  <c r="J635" i="10"/>
  <c r="J633" i="10"/>
  <c r="H632" i="10"/>
  <c r="I6" i="10"/>
  <c r="J642" i="10"/>
  <c r="J194" i="10"/>
  <c r="J348" i="10"/>
  <c r="J205" i="10"/>
  <c r="J12" i="10"/>
  <c r="J13" i="10"/>
  <c r="J637" i="10"/>
  <c r="J349" i="10"/>
  <c r="I194" i="10"/>
  <c r="J7" i="10"/>
  <c r="J14" i="10"/>
  <c r="I641" i="10"/>
  <c r="I643" i="10"/>
  <c r="J340" i="10"/>
  <c r="J643" i="10"/>
  <c r="J9" i="10"/>
  <c r="J11" i="10"/>
  <c r="I642" i="10"/>
  <c r="I350" i="10"/>
  <c r="J640" i="10"/>
  <c r="J346" i="10"/>
  <c r="J342" i="10"/>
  <c r="H194" i="10"/>
  <c r="J17" i="10"/>
  <c r="H340" i="10"/>
  <c r="J16" i="10"/>
  <c r="J634" i="10"/>
  <c r="J345" i="10"/>
  <c r="J341" i="10"/>
  <c r="J343" i="10"/>
  <c r="J6" i="10"/>
  <c r="I340" i="10"/>
  <c r="I205" i="10"/>
  <c r="J632" i="10"/>
  <c r="J10" i="10"/>
  <c r="J639" i="10"/>
  <c r="I349" i="10"/>
  <c r="J15" i="10"/>
  <c r="I16" i="10"/>
  <c r="J638" i="10"/>
  <c r="J350" i="10"/>
  <c r="J344" i="10"/>
  <c r="I17" i="10"/>
  <c r="I203" i="10"/>
  <c r="I204" i="10"/>
  <c r="I632" i="10"/>
  <c r="J204" i="10"/>
  <c r="AK9" i="2"/>
  <c r="CD7" i="1"/>
  <c r="CD8" i="1"/>
  <c r="CD9" i="1"/>
  <c r="CD10" i="1"/>
  <c r="CD11" i="1"/>
  <c r="CD13" i="1"/>
  <c r="W131" i="17" s="1"/>
  <c r="AI133" i="17" s="1"/>
  <c r="CD14" i="1"/>
  <c r="CD15" i="1"/>
  <c r="W106" i="17" s="1"/>
  <c r="AI108" i="17" s="1"/>
  <c r="CD16" i="1"/>
  <c r="CD17" i="1"/>
  <c r="CD18" i="1"/>
  <c r="CD19" i="1"/>
  <c r="CD21" i="1"/>
  <c r="CD22" i="1"/>
  <c r="CD24" i="1"/>
  <c r="CD25" i="1"/>
  <c r="CD27" i="1"/>
  <c r="CD28" i="1"/>
  <c r="CD30" i="1"/>
  <c r="CD31" i="1"/>
  <c r="CD33" i="1"/>
  <c r="CD34" i="1"/>
  <c r="AJ38" i="2"/>
  <c r="AJ35" i="2"/>
  <c r="AJ32" i="2"/>
  <c r="AJ29" i="2"/>
  <c r="AJ26" i="2"/>
  <c r="CE20" i="1" s="1"/>
  <c r="AJ18" i="2"/>
  <c r="CE12" i="1" s="1"/>
  <c r="AJ12" i="2"/>
  <c r="AK8" i="2" l="1"/>
  <c r="AK5" i="2" s="1"/>
  <c r="H88" i="10"/>
  <c r="E494" i="10"/>
  <c r="G567" i="10"/>
  <c r="B558" i="10"/>
  <c r="D567" i="10"/>
  <c r="G560" i="10"/>
  <c r="G562" i="10"/>
  <c r="D568" i="10"/>
  <c r="G563" i="10"/>
  <c r="F558" i="10"/>
  <c r="G568" i="10"/>
  <c r="G565" i="10"/>
  <c r="C558" i="10"/>
  <c r="G558" i="10"/>
  <c r="G564" i="10"/>
  <c r="E558" i="10"/>
  <c r="C568" i="10"/>
  <c r="G561" i="10"/>
  <c r="F567" i="10"/>
  <c r="G559" i="10"/>
  <c r="D558" i="10"/>
  <c r="F568" i="10"/>
  <c r="G566" i="10"/>
  <c r="D569" i="10"/>
  <c r="G569" i="10"/>
  <c r="F569" i="10"/>
  <c r="C569" i="10"/>
  <c r="C567" i="10"/>
  <c r="D566" i="10"/>
  <c r="J202" i="10"/>
  <c r="J267" i="10"/>
  <c r="I267" i="10"/>
  <c r="I715" i="10"/>
  <c r="I413" i="10"/>
  <c r="J706" i="10"/>
  <c r="I277" i="10"/>
  <c r="J707" i="10"/>
  <c r="J423" i="10"/>
  <c r="J421" i="10"/>
  <c r="J714" i="10"/>
  <c r="J710" i="10"/>
  <c r="I714" i="10"/>
  <c r="J424" i="10"/>
  <c r="J417" i="10"/>
  <c r="J716" i="10"/>
  <c r="H705" i="10"/>
  <c r="J415" i="10"/>
  <c r="J713" i="10"/>
  <c r="H413" i="10"/>
  <c r="J712" i="10"/>
  <c r="I716" i="10"/>
  <c r="J414" i="10"/>
  <c r="I423" i="10"/>
  <c r="J709" i="10"/>
  <c r="J278" i="10"/>
  <c r="J708" i="10"/>
  <c r="J420" i="10"/>
  <c r="J705" i="10"/>
  <c r="J711" i="10"/>
  <c r="J416" i="10"/>
  <c r="J715" i="10"/>
  <c r="I705" i="10"/>
  <c r="J277" i="10"/>
  <c r="G717" i="10"/>
  <c r="I278" i="10"/>
  <c r="D717" i="10"/>
  <c r="J418" i="10"/>
  <c r="J419" i="10"/>
  <c r="I276" i="10"/>
  <c r="I422" i="10"/>
  <c r="J422" i="10"/>
  <c r="I424" i="10"/>
  <c r="J276" i="10"/>
  <c r="J413" i="10"/>
  <c r="I348" i="10"/>
  <c r="I15" i="10"/>
  <c r="I640" i="10"/>
  <c r="I202" i="10"/>
  <c r="F189" i="3"/>
  <c r="F109" i="3"/>
  <c r="F149" i="3"/>
  <c r="F344" i="3"/>
  <c r="CE26" i="1"/>
  <c r="CE29" i="1"/>
  <c r="CE23" i="1"/>
  <c r="CE5" i="1"/>
  <c r="CE32" i="1"/>
  <c r="CD6" i="1"/>
  <c r="AJ11" i="2"/>
  <c r="J567" i="10" l="1"/>
  <c r="J568" i="10"/>
  <c r="I558" i="10"/>
  <c r="J566" i="10"/>
  <c r="G570" i="10"/>
  <c r="I568" i="10"/>
  <c r="H558" i="10"/>
  <c r="J558" i="10"/>
  <c r="I567" i="10"/>
  <c r="J569" i="10"/>
  <c r="I569" i="10"/>
  <c r="F566" i="10"/>
  <c r="C566" i="10"/>
  <c r="J275" i="10"/>
  <c r="I275" i="10"/>
  <c r="I421" i="10"/>
  <c r="I713" i="10"/>
  <c r="F31" i="3"/>
  <c r="AJ9" i="2"/>
  <c r="CC7" i="1"/>
  <c r="CC8" i="1"/>
  <c r="CC9" i="1"/>
  <c r="CC10" i="1"/>
  <c r="CC11" i="1"/>
  <c r="CC13" i="1"/>
  <c r="V131" i="17" s="1"/>
  <c r="AH133" i="17" s="1"/>
  <c r="CC14" i="1"/>
  <c r="CC15" i="1"/>
  <c r="V106" i="17" s="1"/>
  <c r="AH108" i="17" s="1"/>
  <c r="CC16" i="1"/>
  <c r="CC17" i="1"/>
  <c r="CC18" i="1"/>
  <c r="CC19" i="1"/>
  <c r="CC21" i="1"/>
  <c r="CC22" i="1"/>
  <c r="CC24" i="1"/>
  <c r="CC25" i="1"/>
  <c r="CC27" i="1"/>
  <c r="CC28" i="1"/>
  <c r="CC30" i="1"/>
  <c r="CC31" i="1"/>
  <c r="CC33" i="1"/>
  <c r="CC34" i="1"/>
  <c r="AI18" i="2"/>
  <c r="CD12" i="1" s="1"/>
  <c r="AI12" i="2"/>
  <c r="AI26" i="2"/>
  <c r="CD20" i="1" s="1"/>
  <c r="AI29" i="2"/>
  <c r="AI32" i="2"/>
  <c r="AI35" i="2"/>
  <c r="CD29" i="1" s="1"/>
  <c r="AI38" i="2"/>
  <c r="AJ8" i="2" l="1"/>
  <c r="AJ5" i="2" s="1"/>
  <c r="H87" i="10"/>
  <c r="E493" i="10"/>
  <c r="I566" i="10"/>
  <c r="J201" i="10"/>
  <c r="D565" i="10"/>
  <c r="J565" i="10" s="1"/>
  <c r="I639" i="10"/>
  <c r="I201" i="10"/>
  <c r="I347" i="10"/>
  <c r="I14" i="10"/>
  <c r="F108" i="3"/>
  <c r="F343" i="3"/>
  <c r="F188" i="3"/>
  <c r="CD23" i="1"/>
  <c r="CD32" i="1"/>
  <c r="CD26" i="1"/>
  <c r="CD5" i="1"/>
  <c r="CC6" i="1"/>
  <c r="AI11" i="2"/>
  <c r="F565" i="10" l="1"/>
  <c r="C565" i="10"/>
  <c r="J274" i="10"/>
  <c r="I420" i="10"/>
  <c r="I712" i="10"/>
  <c r="I274" i="10"/>
  <c r="F30" i="3"/>
  <c r="AI9" i="2"/>
  <c r="AI8" i="2" l="1"/>
  <c r="AI5" i="2" s="1"/>
  <c r="I565" i="10"/>
  <c r="CB7" i="1"/>
  <c r="CB8" i="1"/>
  <c r="CB9" i="1"/>
  <c r="CB10" i="1"/>
  <c r="CB11" i="1"/>
  <c r="CB13" i="1"/>
  <c r="U131" i="17" s="1"/>
  <c r="AG133" i="17" s="1"/>
  <c r="CB14" i="1"/>
  <c r="CB15" i="1"/>
  <c r="U106" i="17" s="1"/>
  <c r="AG108" i="17" s="1"/>
  <c r="CB16" i="1"/>
  <c r="CB17" i="1"/>
  <c r="CB18" i="1"/>
  <c r="CB19" i="1"/>
  <c r="CB21" i="1"/>
  <c r="CB22" i="1"/>
  <c r="CB24" i="1"/>
  <c r="CB25" i="1"/>
  <c r="CB27" i="1"/>
  <c r="CB28" i="1"/>
  <c r="CB30" i="1"/>
  <c r="CB31" i="1"/>
  <c r="CB33" i="1"/>
  <c r="CB34" i="1"/>
  <c r="AH38" i="2"/>
  <c r="AH35" i="2"/>
  <c r="CC29" i="1" s="1"/>
  <c r="AH32" i="2"/>
  <c r="AH29" i="2"/>
  <c r="AH26" i="2"/>
  <c r="CC20" i="1" s="1"/>
  <c r="AH18" i="2"/>
  <c r="AH12" i="2"/>
  <c r="E492" i="10" l="1"/>
  <c r="D564" i="10"/>
  <c r="J564" i="10" s="1"/>
  <c r="J200" i="10"/>
  <c r="I346" i="10"/>
  <c r="I638" i="10"/>
  <c r="I200" i="10"/>
  <c r="F187" i="3"/>
  <c r="F342" i="3"/>
  <c r="F107" i="3"/>
  <c r="F147" i="3"/>
  <c r="CC26" i="1"/>
  <c r="AH11" i="2"/>
  <c r="CC12" i="1"/>
  <c r="CC32" i="1"/>
  <c r="CC23" i="1"/>
  <c r="CB6" i="1"/>
  <c r="CA21" i="1"/>
  <c r="CA22" i="1"/>
  <c r="CA24" i="1"/>
  <c r="CA25" i="1"/>
  <c r="CA27" i="1"/>
  <c r="CA28" i="1"/>
  <c r="CA30" i="1"/>
  <c r="CA31" i="1"/>
  <c r="CA33" i="1"/>
  <c r="CA34" i="1"/>
  <c r="CA13" i="1"/>
  <c r="T131" i="17" s="1"/>
  <c r="AF133" i="17" s="1"/>
  <c r="CA14" i="1"/>
  <c r="CA15" i="1"/>
  <c r="T106" i="17" s="1"/>
  <c r="AF108" i="17" s="1"/>
  <c r="CA16" i="1"/>
  <c r="CA17" i="1"/>
  <c r="CA18" i="1"/>
  <c r="CA19" i="1"/>
  <c r="CA11" i="1"/>
  <c r="CA10" i="1"/>
  <c r="CA9" i="1"/>
  <c r="CA8" i="1"/>
  <c r="BZ7" i="1"/>
  <c r="CA7" i="1"/>
  <c r="H86" i="10" l="1"/>
  <c r="E491" i="10"/>
  <c r="F564" i="10"/>
  <c r="C564" i="10"/>
  <c r="D563" i="10"/>
  <c r="J563" i="10" s="1"/>
  <c r="J199" i="10"/>
  <c r="I273" i="10"/>
  <c r="I345" i="10"/>
  <c r="I13" i="10"/>
  <c r="I199" i="10"/>
  <c r="I637" i="10"/>
  <c r="I711" i="10"/>
  <c r="I419" i="10"/>
  <c r="F29" i="3"/>
  <c r="CC5" i="1"/>
  <c r="AH9" i="2"/>
  <c r="CA6" i="1"/>
  <c r="AG38" i="2"/>
  <c r="AG35" i="2"/>
  <c r="CB29" i="1" s="1"/>
  <c r="AG32" i="2"/>
  <c r="AG29" i="2"/>
  <c r="AG26" i="2"/>
  <c r="CB20" i="1" s="1"/>
  <c r="AG18" i="2"/>
  <c r="CB12" i="1" s="1"/>
  <c r="AG12" i="2"/>
  <c r="AH8" i="2" l="1"/>
  <c r="AH5" i="2" s="1"/>
  <c r="H85" i="10"/>
  <c r="C563" i="10"/>
  <c r="I564" i="10"/>
  <c r="F563" i="10"/>
  <c r="J272" i="10"/>
  <c r="I418" i="10"/>
  <c r="I12" i="10"/>
  <c r="CB5" i="1"/>
  <c r="I272" i="10"/>
  <c r="I710" i="10"/>
  <c r="F341" i="3"/>
  <c r="F146" i="3"/>
  <c r="F106" i="3"/>
  <c r="F186" i="3"/>
  <c r="CB32" i="1"/>
  <c r="CB23" i="1"/>
  <c r="CB26" i="1"/>
  <c r="AG11" i="2"/>
  <c r="BZ8" i="1"/>
  <c r="BZ9" i="1"/>
  <c r="BZ10" i="1"/>
  <c r="BZ11" i="1"/>
  <c r="BZ13" i="1"/>
  <c r="S131" i="17" s="1"/>
  <c r="AE133" i="17" s="1"/>
  <c r="BZ14" i="1"/>
  <c r="BZ15" i="1"/>
  <c r="S106" i="17" s="1"/>
  <c r="AE108" i="17" s="1"/>
  <c r="BZ16" i="1"/>
  <c r="BZ17" i="1"/>
  <c r="BZ18" i="1"/>
  <c r="BZ19" i="1"/>
  <c r="BZ21" i="1"/>
  <c r="BZ22" i="1"/>
  <c r="BZ24" i="1"/>
  <c r="BZ25" i="1"/>
  <c r="BZ27" i="1"/>
  <c r="BZ28" i="1"/>
  <c r="BZ30" i="1"/>
  <c r="BZ31" i="1"/>
  <c r="BZ33" i="1"/>
  <c r="BZ34" i="1"/>
  <c r="AF38" i="2"/>
  <c r="AF35" i="2"/>
  <c r="CA29" i="1" s="1"/>
  <c r="AF32" i="2"/>
  <c r="AF29" i="2"/>
  <c r="AF26" i="2"/>
  <c r="CA20" i="1" s="1"/>
  <c r="AF18" i="2"/>
  <c r="CA12" i="1" s="1"/>
  <c r="AF12" i="2"/>
  <c r="H84" i="10" l="1"/>
  <c r="E490" i="10"/>
  <c r="I563" i="10"/>
  <c r="D562" i="10"/>
  <c r="J562" i="10" s="1"/>
  <c r="J198" i="10"/>
  <c r="AF11" i="2"/>
  <c r="I344" i="10"/>
  <c r="I636" i="10"/>
  <c r="I198" i="10"/>
  <c r="I11" i="10"/>
  <c r="F340" i="3"/>
  <c r="F105" i="3"/>
  <c r="F145" i="3"/>
  <c r="F185" i="3"/>
  <c r="F27" i="3"/>
  <c r="F28" i="3"/>
  <c r="CA32" i="1"/>
  <c r="CA26" i="1"/>
  <c r="CA5" i="1"/>
  <c r="AG9" i="2"/>
  <c r="AG8" i="2" s="1"/>
  <c r="CA23" i="1"/>
  <c r="BZ6" i="1"/>
  <c r="C562" i="10" l="1"/>
  <c r="F562" i="10"/>
  <c r="J271" i="10"/>
  <c r="I271" i="10"/>
  <c r="I709" i="10"/>
  <c r="I417" i="10"/>
  <c r="AG5" i="2"/>
  <c r="AF9" i="2"/>
  <c r="AF8" i="2" s="1"/>
  <c r="BY7" i="1"/>
  <c r="BY8" i="1"/>
  <c r="BY9" i="1"/>
  <c r="BY10" i="1"/>
  <c r="BY11" i="1"/>
  <c r="BY13" i="1"/>
  <c r="R131" i="17" s="1"/>
  <c r="AD133" i="17" s="1"/>
  <c r="BY14" i="1"/>
  <c r="BY15" i="1"/>
  <c r="R106" i="17" s="1"/>
  <c r="AD108" i="17" s="1"/>
  <c r="BY16" i="1"/>
  <c r="BY17" i="1"/>
  <c r="BY18" i="1"/>
  <c r="BY19" i="1"/>
  <c r="BY21" i="1"/>
  <c r="BY22" i="1"/>
  <c r="BY24" i="1"/>
  <c r="BY25" i="1"/>
  <c r="BY27" i="1"/>
  <c r="BY28" i="1"/>
  <c r="BY30" i="1"/>
  <c r="BY31" i="1"/>
  <c r="BY33" i="1"/>
  <c r="BY34" i="1"/>
  <c r="B489" i="10" l="1"/>
  <c r="H197" i="10"/>
  <c r="H416" i="10"/>
  <c r="H343" i="10"/>
  <c r="H635" i="10"/>
  <c r="E489" i="10"/>
  <c r="I562" i="10"/>
  <c r="D561" i="10"/>
  <c r="J561" i="10" s="1"/>
  <c r="J197" i="10"/>
  <c r="I197" i="10"/>
  <c r="I635" i="10"/>
  <c r="I343" i="10"/>
  <c r="AF5" i="2"/>
  <c r="BY6" i="1"/>
  <c r="AE38" i="2"/>
  <c r="AE35" i="2"/>
  <c r="AE32" i="2"/>
  <c r="AE29" i="2"/>
  <c r="AE26" i="2"/>
  <c r="AE18" i="2"/>
  <c r="BZ12" i="1" s="1"/>
  <c r="AE12" i="2"/>
  <c r="H708" i="10" l="1"/>
  <c r="H83" i="10"/>
  <c r="H270" i="10"/>
  <c r="B561" i="10"/>
  <c r="E561" i="10"/>
  <c r="H489" i="10"/>
  <c r="C561" i="10"/>
  <c r="F561" i="10"/>
  <c r="J270" i="10"/>
  <c r="I416" i="10"/>
  <c r="I708" i="10"/>
  <c r="I10" i="10"/>
  <c r="I270" i="10"/>
  <c r="F183" i="3"/>
  <c r="F184" i="3"/>
  <c r="F338" i="3"/>
  <c r="F339" i="3"/>
  <c r="F103" i="3"/>
  <c r="F143" i="3"/>
  <c r="F144" i="3"/>
  <c r="F104" i="3"/>
  <c r="BZ26" i="1"/>
  <c r="BZ5" i="1"/>
  <c r="BZ32" i="1"/>
  <c r="BZ23" i="1"/>
  <c r="BY20" i="1"/>
  <c r="BZ20" i="1"/>
  <c r="BY29" i="1"/>
  <c r="BZ29" i="1"/>
  <c r="BY26" i="1"/>
  <c r="AE11" i="2"/>
  <c r="BY12" i="1"/>
  <c r="BY32" i="1"/>
  <c r="BY23" i="1"/>
  <c r="BX7" i="1"/>
  <c r="BX8" i="1"/>
  <c r="BX9" i="1"/>
  <c r="BX10" i="1"/>
  <c r="BX11" i="1"/>
  <c r="BX13" i="1"/>
  <c r="Q131" i="17" s="1"/>
  <c r="AC133" i="17" s="1"/>
  <c r="BX14" i="1"/>
  <c r="BX15" i="1"/>
  <c r="Q106" i="17" s="1"/>
  <c r="AC108" i="17" s="1"/>
  <c r="BX16" i="1"/>
  <c r="BX17" i="1"/>
  <c r="BX18" i="1"/>
  <c r="BX19" i="1"/>
  <c r="BX21" i="1"/>
  <c r="BX22" i="1"/>
  <c r="BX24" i="1"/>
  <c r="BX25" i="1"/>
  <c r="BX27" i="1"/>
  <c r="BX28" i="1"/>
  <c r="BX30" i="1"/>
  <c r="BX31" i="1"/>
  <c r="BX33" i="1"/>
  <c r="BX34" i="1"/>
  <c r="H634" i="10" l="1"/>
  <c r="B488" i="10"/>
  <c r="H196" i="10"/>
  <c r="E488" i="10"/>
  <c r="H415" i="10"/>
  <c r="H342" i="10"/>
  <c r="H82" i="10"/>
  <c r="H561" i="10"/>
  <c r="I561" i="10"/>
  <c r="D560" i="10"/>
  <c r="J560" i="10" s="1"/>
  <c r="J196" i="10"/>
  <c r="I196" i="10"/>
  <c r="I9" i="10"/>
  <c r="I634" i="10"/>
  <c r="I342" i="10"/>
  <c r="F25" i="3"/>
  <c r="F26" i="3"/>
  <c r="BY5" i="1"/>
  <c r="AE9" i="2"/>
  <c r="AE8" i="2" s="1"/>
  <c r="BX6" i="1"/>
  <c r="BW13" i="1"/>
  <c r="P131" i="17" s="1"/>
  <c r="AB133" i="17" s="1"/>
  <c r="BW14" i="1"/>
  <c r="BW15" i="1"/>
  <c r="P106" i="17" s="1"/>
  <c r="AB108" i="17" s="1"/>
  <c r="BW16" i="1"/>
  <c r="BW17" i="1"/>
  <c r="BW18" i="1"/>
  <c r="BW19" i="1"/>
  <c r="BW21" i="1"/>
  <c r="BW22" i="1"/>
  <c r="BW24" i="1"/>
  <c r="BW25" i="1"/>
  <c r="BW27" i="1"/>
  <c r="BW28" i="1"/>
  <c r="BW30" i="1"/>
  <c r="BW31" i="1"/>
  <c r="BW33" i="1"/>
  <c r="BW34" i="1"/>
  <c r="BW8" i="1"/>
  <c r="BW9" i="1"/>
  <c r="BW10" i="1"/>
  <c r="BW11" i="1"/>
  <c r="BW7" i="1"/>
  <c r="AC38" i="2"/>
  <c r="AC35" i="2"/>
  <c r="BX29" i="1" s="1"/>
  <c r="AB35" i="2"/>
  <c r="AC32" i="2"/>
  <c r="AC29" i="2"/>
  <c r="AC26" i="2"/>
  <c r="BX20" i="1" s="1"/>
  <c r="AC18" i="2"/>
  <c r="BX12" i="1" s="1"/>
  <c r="AC12" i="2"/>
  <c r="B206" i="10" l="1"/>
  <c r="H195" i="10"/>
  <c r="B487" i="10"/>
  <c r="E487" i="10"/>
  <c r="E498" i="10" s="1"/>
  <c r="E206" i="10"/>
  <c r="H414" i="10"/>
  <c r="H341" i="10"/>
  <c r="H633" i="10"/>
  <c r="E560" i="10"/>
  <c r="B560" i="10"/>
  <c r="H269" i="10"/>
  <c r="H488" i="10"/>
  <c r="H707" i="10"/>
  <c r="F717" i="10"/>
  <c r="F560" i="10"/>
  <c r="C560" i="10"/>
  <c r="J269" i="10"/>
  <c r="F206" i="10"/>
  <c r="AC11" i="2"/>
  <c r="AC9" i="2" s="1"/>
  <c r="AC8" i="2" s="1"/>
  <c r="C559" i="10"/>
  <c r="F425" i="10"/>
  <c r="D559" i="10"/>
  <c r="J195" i="10"/>
  <c r="I415" i="10"/>
  <c r="I269" i="10"/>
  <c r="I341" i="10"/>
  <c r="F644" i="10"/>
  <c r="I633" i="10"/>
  <c r="C644" i="10"/>
  <c r="I8" i="10"/>
  <c r="D164" i="10"/>
  <c r="I195" i="10"/>
  <c r="I707" i="10"/>
  <c r="D644" i="10"/>
  <c r="G644" i="10"/>
  <c r="F24" i="3"/>
  <c r="F182" i="3"/>
  <c r="G279" i="10"/>
  <c r="F142" i="3"/>
  <c r="F102" i="3"/>
  <c r="F337" i="3"/>
  <c r="G425" i="10"/>
  <c r="BX26" i="1"/>
  <c r="AE5" i="2"/>
  <c r="BX23" i="1"/>
  <c r="BX32" i="1"/>
  <c r="BW29" i="1"/>
  <c r="BX5" i="1"/>
  <c r="BW6" i="1"/>
  <c r="H706" i="10" l="1"/>
  <c r="H81" i="10"/>
  <c r="E559" i="10"/>
  <c r="H487" i="10"/>
  <c r="H268" i="10"/>
  <c r="B559" i="10"/>
  <c r="H560" i="10"/>
  <c r="I560" i="10"/>
  <c r="C570" i="10"/>
  <c r="J559" i="10"/>
  <c r="D570" i="10"/>
  <c r="F559" i="10"/>
  <c r="J268" i="10"/>
  <c r="F279" i="10"/>
  <c r="C91" i="10"/>
  <c r="C279" i="10"/>
  <c r="I268" i="10"/>
  <c r="I706" i="10"/>
  <c r="C717" i="10"/>
  <c r="I414" i="10"/>
  <c r="C425" i="10"/>
  <c r="D425" i="10"/>
  <c r="D279" i="10"/>
  <c r="D91" i="10"/>
  <c r="D18" i="10"/>
  <c r="AC5" i="2"/>
  <c r="H559" i="10" l="1"/>
  <c r="I559" i="10"/>
  <c r="F570" i="10"/>
  <c r="AN5" i="2"/>
  <c r="AN9" i="2"/>
  <c r="AB38" i="2" l="1"/>
  <c r="AB32" i="2"/>
  <c r="AB29" i="2"/>
  <c r="AB26" i="2"/>
  <c r="BW20" i="1" s="1"/>
  <c r="AB18" i="2"/>
  <c r="BW12" i="1" s="1"/>
  <c r="AB12" i="2"/>
  <c r="H80" i="10" l="1"/>
  <c r="F18" i="10"/>
  <c r="F91" i="10"/>
  <c r="I7" i="10"/>
  <c r="F141" i="3"/>
  <c r="F222" i="3"/>
  <c r="F181" i="3"/>
  <c r="G91" i="10"/>
  <c r="F377" i="3"/>
  <c r="F336" i="3"/>
  <c r="BW23" i="1"/>
  <c r="BW5" i="1"/>
  <c r="BW32" i="1"/>
  <c r="BW26" i="1"/>
  <c r="AB11" i="2"/>
  <c r="BU7" i="1"/>
  <c r="BU8" i="1"/>
  <c r="BU9" i="1"/>
  <c r="BU10" i="1"/>
  <c r="BU11" i="1"/>
  <c r="BU13" i="1"/>
  <c r="BU14" i="1"/>
  <c r="BU15" i="1"/>
  <c r="BU16" i="1"/>
  <c r="BU17" i="1"/>
  <c r="BU18" i="1"/>
  <c r="BU19" i="1"/>
  <c r="BU21" i="1"/>
  <c r="BU22" i="1"/>
  <c r="BU24" i="1"/>
  <c r="BU25" i="1"/>
  <c r="BU27" i="1"/>
  <c r="BU28" i="1"/>
  <c r="BU30" i="1"/>
  <c r="BU31" i="1"/>
  <c r="BU33" i="1"/>
  <c r="BU34" i="1"/>
  <c r="B497" i="10" l="1"/>
  <c r="H497" i="10" s="1"/>
  <c r="H351" i="10"/>
  <c r="H205" i="10"/>
  <c r="H643" i="10"/>
  <c r="G18" i="10"/>
  <c r="J18" i="10"/>
  <c r="AB9" i="2"/>
  <c r="AB8" i="2" s="1"/>
  <c r="BU6" i="1"/>
  <c r="Z38" i="2"/>
  <c r="Z35" i="2"/>
  <c r="Z32" i="2"/>
  <c r="Z29" i="2"/>
  <c r="Z26" i="2"/>
  <c r="Z18" i="2"/>
  <c r="Z12" i="2"/>
  <c r="E569" i="10" l="1"/>
  <c r="B569" i="10"/>
  <c r="H716" i="10"/>
  <c r="H278" i="10"/>
  <c r="H424" i="10"/>
  <c r="AB5" i="2"/>
  <c r="Z11" i="2"/>
  <c r="BT7" i="1"/>
  <c r="BT8" i="1"/>
  <c r="BT9" i="1"/>
  <c r="BT10" i="1"/>
  <c r="BT11" i="1"/>
  <c r="BT13" i="1"/>
  <c r="BT14" i="1"/>
  <c r="BT15" i="1"/>
  <c r="BT16" i="1"/>
  <c r="BT17" i="1"/>
  <c r="BT18" i="1"/>
  <c r="BT19" i="1"/>
  <c r="BT21" i="1"/>
  <c r="BT22" i="1"/>
  <c r="BT24" i="1"/>
  <c r="BT25" i="1"/>
  <c r="BT27" i="1"/>
  <c r="BT28" i="1"/>
  <c r="BT30" i="1"/>
  <c r="BT31" i="1"/>
  <c r="BT33" i="1"/>
  <c r="BT34" i="1"/>
  <c r="Y38" i="2"/>
  <c r="BU32" i="1" s="1"/>
  <c r="Y35" i="2"/>
  <c r="BU29" i="1" s="1"/>
  <c r="Y32" i="2"/>
  <c r="BU26" i="1" s="1"/>
  <c r="Y29" i="2"/>
  <c r="Y26" i="2"/>
  <c r="BU20" i="1" s="1"/>
  <c r="Y18" i="2"/>
  <c r="Y12" i="2"/>
  <c r="H569" i="10" l="1"/>
  <c r="B496" i="10"/>
  <c r="H496" i="10" s="1"/>
  <c r="H204" i="10"/>
  <c r="H642" i="10"/>
  <c r="H350" i="10"/>
  <c r="Y11" i="2"/>
  <c r="Y9" i="2" s="1"/>
  <c r="BU12" i="1"/>
  <c r="Z9" i="2"/>
  <c r="BU23" i="1"/>
  <c r="BT6" i="1"/>
  <c r="BS7" i="1"/>
  <c r="BS8" i="1"/>
  <c r="BS9" i="1"/>
  <c r="BS10" i="1"/>
  <c r="BS11" i="1"/>
  <c r="BS13" i="1"/>
  <c r="BS14" i="1"/>
  <c r="BS15" i="1"/>
  <c r="BS16" i="1"/>
  <c r="BS17" i="1"/>
  <c r="BS18" i="1"/>
  <c r="BS19" i="1"/>
  <c r="BS21" i="1"/>
  <c r="BS22" i="1"/>
  <c r="BS24" i="1"/>
  <c r="BS25" i="1"/>
  <c r="BS27" i="1"/>
  <c r="BS28" i="1"/>
  <c r="BS30" i="1"/>
  <c r="BS31" i="1"/>
  <c r="BS33" i="1"/>
  <c r="BS34" i="1"/>
  <c r="X38" i="2"/>
  <c r="X35" i="2"/>
  <c r="BT29" i="1" s="1"/>
  <c r="X32" i="2"/>
  <c r="BT26" i="1" s="1"/>
  <c r="X29" i="2"/>
  <c r="X26" i="2"/>
  <c r="BT20" i="1" s="1"/>
  <c r="X18" i="2"/>
  <c r="BT12" i="1" s="1"/>
  <c r="X12" i="2"/>
  <c r="E568" i="10" l="1"/>
  <c r="B568" i="10"/>
  <c r="B495" i="10"/>
  <c r="H495" i="10" s="1"/>
  <c r="H423" i="10"/>
  <c r="H16" i="10"/>
  <c r="H17" i="10"/>
  <c r="H203" i="10"/>
  <c r="H641" i="10"/>
  <c r="H349" i="10"/>
  <c r="H715" i="10"/>
  <c r="H277" i="10"/>
  <c r="Y5" i="2"/>
  <c r="Z5" i="2"/>
  <c r="BU5" i="1"/>
  <c r="BT23" i="1"/>
  <c r="BT5" i="1"/>
  <c r="BT32" i="1"/>
  <c r="BS6" i="1"/>
  <c r="X11" i="2"/>
  <c r="X9" i="2" s="1"/>
  <c r="BR7" i="1"/>
  <c r="BR8" i="1"/>
  <c r="BR9" i="1"/>
  <c r="BR10" i="1"/>
  <c r="BR11" i="1"/>
  <c r="BR13" i="1"/>
  <c r="BR14" i="1"/>
  <c r="BR15" i="1"/>
  <c r="BR16" i="1"/>
  <c r="BR17" i="1"/>
  <c r="BR18" i="1"/>
  <c r="BR19" i="1"/>
  <c r="BR21" i="1"/>
  <c r="BR22" i="1"/>
  <c r="BR24" i="1"/>
  <c r="BR25" i="1"/>
  <c r="BR27" i="1"/>
  <c r="BR28" i="1"/>
  <c r="BR30" i="1"/>
  <c r="BR31" i="1"/>
  <c r="BR33" i="1"/>
  <c r="BR34" i="1"/>
  <c r="H568" i="10" l="1"/>
  <c r="E567" i="10"/>
  <c r="B567" i="10"/>
  <c r="B494" i="10"/>
  <c r="H494" i="10" s="1"/>
  <c r="H422" i="10"/>
  <c r="H276" i="10"/>
  <c r="H714" i="10"/>
  <c r="H202" i="10"/>
  <c r="H348" i="10"/>
  <c r="H640" i="10"/>
  <c r="X5" i="2"/>
  <c r="BR6" i="1"/>
  <c r="H567" i="10" l="1"/>
  <c r="E566" i="10"/>
  <c r="B566" i="10"/>
  <c r="H275" i="10"/>
  <c r="H713" i="10"/>
  <c r="H421" i="10"/>
  <c r="W35" i="2"/>
  <c r="W32" i="2"/>
  <c r="W29" i="2"/>
  <c r="W26" i="2"/>
  <c r="W38" i="2"/>
  <c r="W18" i="2"/>
  <c r="W12" i="2"/>
  <c r="H566" i="10" l="1"/>
  <c r="W11" i="2"/>
  <c r="W9" i="2" s="1"/>
  <c r="BS20" i="1"/>
  <c r="BS23" i="1"/>
  <c r="BS26" i="1"/>
  <c r="BS12" i="1"/>
  <c r="BS32" i="1"/>
  <c r="BS29" i="1"/>
  <c r="BQ7" i="1"/>
  <c r="BQ8" i="1"/>
  <c r="BQ9" i="1"/>
  <c r="BQ10" i="1"/>
  <c r="BQ11" i="1"/>
  <c r="BQ13" i="1"/>
  <c r="BQ14" i="1"/>
  <c r="BQ15" i="1"/>
  <c r="BQ16" i="1"/>
  <c r="BQ17" i="1"/>
  <c r="BQ18" i="1"/>
  <c r="BQ19" i="1"/>
  <c r="BQ21" i="1"/>
  <c r="BQ22" i="1"/>
  <c r="BQ24" i="1"/>
  <c r="BQ25" i="1"/>
  <c r="BQ27" i="1"/>
  <c r="BQ28" i="1"/>
  <c r="BQ30" i="1"/>
  <c r="BQ31" i="1"/>
  <c r="BQ33" i="1"/>
  <c r="BQ34" i="1"/>
  <c r="B493" i="10" l="1"/>
  <c r="H493" i="10" s="1"/>
  <c r="H347" i="10"/>
  <c r="H639" i="10"/>
  <c r="H201" i="10"/>
  <c r="H15" i="10"/>
  <c r="W5" i="2"/>
  <c r="BS5" i="1"/>
  <c r="BQ6" i="1"/>
  <c r="V35" i="2"/>
  <c r="V38" i="2"/>
  <c r="V32" i="2"/>
  <c r="V29" i="2"/>
  <c r="V26" i="2"/>
  <c r="V18" i="2"/>
  <c r="V12" i="2"/>
  <c r="E565" i="10" l="1"/>
  <c r="B565" i="10"/>
  <c r="H274" i="10"/>
  <c r="H420" i="10"/>
  <c r="H712" i="10"/>
  <c r="V11" i="2"/>
  <c r="BR12" i="1"/>
  <c r="BR32" i="1"/>
  <c r="BR26" i="1"/>
  <c r="BR20" i="1"/>
  <c r="BR29" i="1"/>
  <c r="BR23" i="1"/>
  <c r="BP13" i="1"/>
  <c r="BP14" i="1"/>
  <c r="BP15" i="1"/>
  <c r="BP16" i="1"/>
  <c r="BP17" i="1"/>
  <c r="BP18" i="1"/>
  <c r="BP19" i="1"/>
  <c r="BP21" i="1"/>
  <c r="BP22" i="1"/>
  <c r="BP24" i="1"/>
  <c r="BP25" i="1"/>
  <c r="BP27" i="1"/>
  <c r="BP28" i="1"/>
  <c r="BP30" i="1"/>
  <c r="BP31" i="1"/>
  <c r="BP33" i="1"/>
  <c r="BP34" i="1"/>
  <c r="BP8" i="1"/>
  <c r="BP9" i="1"/>
  <c r="BP10" i="1"/>
  <c r="BP11" i="1"/>
  <c r="BP7" i="1"/>
  <c r="H565" i="10" l="1"/>
  <c r="B492" i="10"/>
  <c r="H492" i="10" s="1"/>
  <c r="H200" i="10"/>
  <c r="H14" i="10"/>
  <c r="H638" i="10"/>
  <c r="H346" i="10"/>
  <c r="V9" i="2"/>
  <c r="BR5" i="1"/>
  <c r="BP6" i="1"/>
  <c r="E564" i="10" l="1"/>
  <c r="B564" i="10"/>
  <c r="H419" i="10"/>
  <c r="H273" i="10"/>
  <c r="H711" i="10"/>
  <c r="V5" i="2"/>
  <c r="U35" i="2"/>
  <c r="BQ29" i="1" s="1"/>
  <c r="U29" i="2"/>
  <c r="BQ23" i="1" s="1"/>
  <c r="U32" i="2"/>
  <c r="BQ26" i="1" s="1"/>
  <c r="U38" i="2"/>
  <c r="BQ32" i="1" s="1"/>
  <c r="U26" i="2"/>
  <c r="BQ20" i="1" s="1"/>
  <c r="U18" i="2"/>
  <c r="BQ12" i="1" s="1"/>
  <c r="U12" i="2"/>
  <c r="H564" i="10" l="1"/>
  <c r="H13" i="10"/>
  <c r="BQ5" i="1"/>
  <c r="U11" i="2"/>
  <c r="BO7" i="1"/>
  <c r="BO8" i="1"/>
  <c r="BO9" i="1"/>
  <c r="BO10" i="1"/>
  <c r="BO11" i="1"/>
  <c r="BO13" i="1"/>
  <c r="BO14" i="1"/>
  <c r="BO15" i="1"/>
  <c r="BO16" i="1"/>
  <c r="BO17" i="1"/>
  <c r="BO18" i="1"/>
  <c r="BO19" i="1"/>
  <c r="BO21" i="1"/>
  <c r="BO22" i="1"/>
  <c r="BO24" i="1"/>
  <c r="BO25" i="1"/>
  <c r="BO27" i="1"/>
  <c r="BO28" i="1"/>
  <c r="BO30" i="1"/>
  <c r="BO31" i="1"/>
  <c r="BO33" i="1"/>
  <c r="BO34" i="1"/>
  <c r="T38" i="2"/>
  <c r="T35" i="2"/>
  <c r="BP29" i="1" s="1"/>
  <c r="S35" i="2"/>
  <c r="T32" i="2"/>
  <c r="T29" i="2"/>
  <c r="T26" i="2"/>
  <c r="BP20" i="1" s="1"/>
  <c r="T18" i="2"/>
  <c r="BP12" i="1" s="1"/>
  <c r="T12" i="2"/>
  <c r="B491" i="10" l="1"/>
  <c r="H491" i="10" s="1"/>
  <c r="H345" i="10"/>
  <c r="H199" i="10"/>
  <c r="H12" i="10"/>
  <c r="H637" i="10"/>
  <c r="BP32" i="1"/>
  <c r="U9" i="2"/>
  <c r="BP5" i="1"/>
  <c r="BO29" i="1"/>
  <c r="BP26" i="1"/>
  <c r="BP23" i="1"/>
  <c r="T11" i="2"/>
  <c r="BO6" i="1"/>
  <c r="BN13" i="1"/>
  <c r="BN14" i="1"/>
  <c r="BN15" i="1"/>
  <c r="BN16" i="1"/>
  <c r="BN17" i="1"/>
  <c r="BN18" i="1"/>
  <c r="BN19" i="1"/>
  <c r="BN21" i="1"/>
  <c r="BN22" i="1"/>
  <c r="BN24" i="1"/>
  <c r="BN25" i="1"/>
  <c r="BN27" i="1"/>
  <c r="BN28" i="1"/>
  <c r="BN30" i="1"/>
  <c r="BN31" i="1"/>
  <c r="BN33" i="1"/>
  <c r="BN34" i="1"/>
  <c r="BN9" i="1"/>
  <c r="BN10" i="1"/>
  <c r="BN11" i="1"/>
  <c r="BN8" i="1"/>
  <c r="BN7" i="1"/>
  <c r="S18" i="2"/>
  <c r="BO12" i="1" s="1"/>
  <c r="S38" i="2"/>
  <c r="S32" i="2"/>
  <c r="S29" i="2"/>
  <c r="BO23" i="1" s="1"/>
  <c r="S26" i="2"/>
  <c r="BO20" i="1" s="1"/>
  <c r="B164" i="10" l="1"/>
  <c r="E717" i="10"/>
  <c r="E563" i="10"/>
  <c r="B563" i="10"/>
  <c r="B490" i="10"/>
  <c r="E425" i="10"/>
  <c r="H272" i="10"/>
  <c r="B644" i="10"/>
  <c r="H636" i="10"/>
  <c r="H344" i="10"/>
  <c r="H11" i="10"/>
  <c r="E644" i="10"/>
  <c r="C164" i="10"/>
  <c r="H198" i="10"/>
  <c r="H710" i="10"/>
  <c r="H418" i="10"/>
  <c r="U5" i="2"/>
  <c r="BO26" i="1"/>
  <c r="T9" i="2"/>
  <c r="BO32" i="1"/>
  <c r="BO5" i="1"/>
  <c r="BN6" i="1"/>
  <c r="S12" i="2"/>
  <c r="S11" i="2" s="1"/>
  <c r="S9" i="2" s="1"/>
  <c r="R12" i="2"/>
  <c r="F164" i="10" l="1"/>
  <c r="G164" i="10"/>
  <c r="H563" i="10"/>
  <c r="E562" i="10"/>
  <c r="E570" i="10" s="1"/>
  <c r="E279" i="10"/>
  <c r="B562" i="10"/>
  <c r="H490" i="10"/>
  <c r="B498" i="10"/>
  <c r="H417" i="10"/>
  <c r="B425" i="10"/>
  <c r="H271" i="10"/>
  <c r="B279" i="10"/>
  <c r="H709" i="10"/>
  <c r="B717" i="10"/>
  <c r="T5" i="2"/>
  <c r="S5" i="2"/>
  <c r="P10" i="2"/>
  <c r="O10" i="2"/>
  <c r="Q10" i="2"/>
  <c r="O7" i="2"/>
  <c r="P7" i="2"/>
  <c r="Q7" i="2"/>
  <c r="O6" i="2"/>
  <c r="P6" i="2"/>
  <c r="Q6" i="2"/>
  <c r="H562" i="10" l="1"/>
  <c r="B570" i="10"/>
  <c r="R32" i="2"/>
  <c r="BN26" i="1" s="1"/>
  <c r="R29" i="2"/>
  <c r="BN23" i="1" s="1"/>
  <c r="R18" i="2"/>
  <c r="BN12" i="1" s="1"/>
  <c r="H10" i="10" l="1"/>
  <c r="R11" i="2"/>
  <c r="BN5" i="1"/>
  <c r="R9" i="2" l="1"/>
  <c r="R5" i="2" l="1"/>
  <c r="R26" i="2"/>
  <c r="BN20" i="1" s="1"/>
  <c r="R38" i="2"/>
  <c r="R35" i="2"/>
  <c r="BN29" i="1" s="1"/>
  <c r="BM32" i="1"/>
  <c r="BM29" i="1"/>
  <c r="BM26" i="1"/>
  <c r="BM23" i="1"/>
  <c r="BM20" i="1"/>
  <c r="BM12" i="1"/>
  <c r="BM6" i="1"/>
  <c r="H9" i="10" l="1"/>
  <c r="BN32" i="1"/>
  <c r="BM5" i="1"/>
  <c r="BL32" i="1"/>
  <c r="BL29" i="1"/>
  <c r="BL26" i="1"/>
  <c r="BL23" i="1"/>
  <c r="BL20" i="1"/>
  <c r="BL12" i="1"/>
  <c r="BL6" i="1"/>
  <c r="H8" i="10" l="1"/>
  <c r="BL5" i="1"/>
  <c r="AA38" i="2"/>
  <c r="AA32" i="2"/>
  <c r="AA29" i="2"/>
  <c r="AA26" i="2"/>
  <c r="AA5" i="2" l="1"/>
  <c r="F63" i="3"/>
  <c r="F64" i="3"/>
  <c r="F65" i="3"/>
  <c r="F66" i="3"/>
  <c r="F67" i="3"/>
  <c r="F68" i="3"/>
  <c r="F69" i="3"/>
  <c r="F70" i="3"/>
  <c r="F71" i="3"/>
  <c r="F72" i="3"/>
  <c r="F73" i="3"/>
  <c r="Q38" i="2" l="1"/>
  <c r="Q35" i="2"/>
  <c r="Q32" i="2"/>
  <c r="Q29" i="2"/>
  <c r="Q26" i="2"/>
  <c r="Q18" i="2"/>
  <c r="Q12" i="2"/>
  <c r="Q11" i="2" l="1"/>
  <c r="Q9" i="2" l="1"/>
  <c r="Q5" i="2" l="1"/>
  <c r="BK32" i="1"/>
  <c r="BK29" i="1"/>
  <c r="BK26" i="1"/>
  <c r="BK23" i="1"/>
  <c r="BK20" i="1"/>
  <c r="BK12" i="1"/>
  <c r="BK6" i="1"/>
  <c r="P38" i="2"/>
  <c r="P35" i="2"/>
  <c r="P32" i="2"/>
  <c r="P29" i="2"/>
  <c r="P26" i="2"/>
  <c r="P18" i="2"/>
  <c r="P12" i="2"/>
  <c r="H7" i="10" l="1"/>
  <c r="BK5" i="1"/>
  <c r="P11" i="2"/>
  <c r="O32" i="2"/>
  <c r="P9" i="2" l="1"/>
  <c r="BJ32" i="1"/>
  <c r="BJ29" i="1"/>
  <c r="BJ26" i="1"/>
  <c r="E164" i="10"/>
  <c r="H164" i="10" s="1"/>
  <c r="P5" i="2" l="1"/>
  <c r="BJ23" i="1" l="1"/>
  <c r="BJ20" i="1"/>
  <c r="BJ12" i="1"/>
  <c r="BJ6" i="1"/>
  <c r="E91" i="10" l="1"/>
  <c r="E18" i="10"/>
  <c r="BJ5" i="1"/>
  <c r="O35" i="2" l="1"/>
  <c r="O26" i="2"/>
  <c r="O12" i="2"/>
  <c r="O18" i="2"/>
  <c r="O29" i="2"/>
  <c r="O38" i="2"/>
  <c r="O11" i="2" l="1"/>
  <c r="O9" i="2" l="1"/>
  <c r="O5" i="2" l="1"/>
  <c r="I18" i="10" l="1"/>
  <c r="H18" i="10" l="1"/>
  <c r="M18" i="2" l="1"/>
  <c r="M12" i="2"/>
  <c r="M26" i="2"/>
  <c r="M29" i="2"/>
  <c r="M32" i="2"/>
  <c r="M35" i="2"/>
  <c r="M38" i="2"/>
  <c r="M11" i="2" l="1"/>
  <c r="N9" i="2"/>
  <c r="N8" i="2" s="1"/>
  <c r="N5" i="2" l="1"/>
  <c r="M5" i="2" l="1"/>
  <c r="B11" i="2" l="1"/>
  <c r="Z32" i="1" l="1"/>
  <c r="Z29" i="1"/>
  <c r="Z26" i="1"/>
  <c r="Z23" i="1"/>
  <c r="Z20" i="1"/>
  <c r="Z5" i="1"/>
  <c r="W32" i="1" l="1"/>
  <c r="W29" i="1"/>
  <c r="W26" i="1"/>
  <c r="W23" i="1"/>
  <c r="W20" i="1"/>
  <c r="W5" i="1"/>
  <c r="V32" i="1"/>
  <c r="V29" i="1"/>
  <c r="V26" i="1"/>
  <c r="V23" i="1"/>
  <c r="V20" i="1"/>
  <c r="V5" i="1"/>
  <c r="I5" i="1"/>
  <c r="B5" i="1"/>
  <c r="C5" i="1"/>
  <c r="D5" i="1"/>
  <c r="E5" i="1"/>
  <c r="F5" i="1"/>
  <c r="G5" i="1"/>
  <c r="H5" i="1"/>
  <c r="J5" i="1"/>
  <c r="K5" i="1"/>
  <c r="L5" i="1"/>
  <c r="M5" i="1"/>
  <c r="N5" i="1"/>
  <c r="O5" i="1"/>
  <c r="P5" i="1"/>
  <c r="Q5" i="1"/>
  <c r="R5" i="1"/>
  <c r="S5" i="1"/>
  <c r="T5" i="1"/>
  <c r="U5" i="1"/>
  <c r="B20" i="1"/>
  <c r="C20" i="1"/>
  <c r="D20" i="1"/>
  <c r="E20" i="1"/>
  <c r="F20" i="1"/>
  <c r="G20" i="1"/>
  <c r="H20" i="1"/>
  <c r="I20" i="1"/>
  <c r="J20" i="1"/>
  <c r="K20" i="1"/>
  <c r="L20" i="1"/>
  <c r="M20" i="1"/>
  <c r="N20" i="1"/>
  <c r="O20" i="1"/>
  <c r="P20" i="1"/>
  <c r="Q20" i="1"/>
  <c r="R20" i="1"/>
  <c r="S20" i="1"/>
  <c r="T20" i="1"/>
  <c r="U20" i="1"/>
  <c r="B23" i="1"/>
  <c r="C23" i="1"/>
  <c r="D23" i="1"/>
  <c r="E23" i="1"/>
  <c r="F23" i="1"/>
  <c r="G23" i="1"/>
  <c r="H23" i="1"/>
  <c r="I23" i="1"/>
  <c r="J23" i="1"/>
  <c r="K23" i="1"/>
  <c r="L23" i="1"/>
  <c r="M23" i="1"/>
  <c r="N23" i="1"/>
  <c r="O23" i="1"/>
  <c r="P23" i="1"/>
  <c r="Q23" i="1"/>
  <c r="R23" i="1"/>
  <c r="S23" i="1"/>
  <c r="T23" i="1"/>
  <c r="U23" i="1"/>
  <c r="B26" i="1"/>
  <c r="C26" i="1"/>
  <c r="D26" i="1"/>
  <c r="E26" i="1"/>
  <c r="F26" i="1"/>
  <c r="G26" i="1"/>
  <c r="H26" i="1"/>
  <c r="I26" i="1"/>
  <c r="J26" i="1"/>
  <c r="K26" i="1"/>
  <c r="L26" i="1"/>
  <c r="M26" i="1"/>
  <c r="N26" i="1"/>
  <c r="O26" i="1"/>
  <c r="P26" i="1"/>
  <c r="Q26" i="1"/>
  <c r="R26" i="1"/>
  <c r="S26" i="1"/>
  <c r="T26" i="1"/>
  <c r="U26" i="1"/>
  <c r="B29" i="1"/>
  <c r="C29" i="1"/>
  <c r="D29" i="1"/>
  <c r="E29" i="1"/>
  <c r="F29" i="1"/>
  <c r="G29" i="1"/>
  <c r="H29" i="1"/>
  <c r="I29" i="1"/>
  <c r="J29" i="1"/>
  <c r="K29" i="1"/>
  <c r="L29" i="1"/>
  <c r="M29" i="1"/>
  <c r="N29" i="1"/>
  <c r="O29" i="1"/>
  <c r="P29" i="1"/>
  <c r="Q29" i="1"/>
  <c r="R29" i="1"/>
  <c r="S29" i="1"/>
  <c r="T29" i="1"/>
  <c r="U29" i="1"/>
  <c r="B32" i="1"/>
  <c r="C32" i="1"/>
  <c r="D32" i="1"/>
  <c r="E32" i="1"/>
  <c r="F32" i="1"/>
  <c r="G32" i="1"/>
  <c r="H32" i="1"/>
  <c r="I32" i="1"/>
  <c r="J32" i="1"/>
  <c r="K32" i="1"/>
  <c r="L32" i="1"/>
  <c r="M32" i="1"/>
  <c r="N32" i="1"/>
  <c r="O32" i="1"/>
  <c r="P32" i="1"/>
  <c r="Q32" i="1"/>
  <c r="R32" i="1"/>
  <c r="S32" i="1"/>
  <c r="T32" i="1"/>
  <c r="U3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Emīls Ķīlis</author>
    <author>Normunds Malnačs</author>
    <author>Dace Kalsone</author>
  </authors>
  <commentList>
    <comment ref="N4" authorId="0" shapeId="0" xr:uid="{00000000-0006-0000-0100-000001000000}">
      <text>
        <r>
          <rPr>
            <b/>
            <sz val="9"/>
            <color indexed="81"/>
            <rFont val="Tahoma"/>
            <family val="2"/>
            <charset val="186"/>
          </rPr>
          <t xml:space="preserve">FDP: </t>
        </r>
        <r>
          <rPr>
            <sz val="9"/>
            <color indexed="81"/>
            <rFont val="Tahoma"/>
            <family val="2"/>
            <charset val="204"/>
          </rPr>
          <t>Likuma "Par valsts budžetu 2018.gadam" paskaidrojumi, 2. sadaļa "Fiskālais apskats", http://www.fm.gov.lv/files/files/FMPask_D_050218_bud2018.pdf</t>
        </r>
      </text>
    </comment>
    <comment ref="AA4" authorId="0" shapeId="0" xr:uid="{00000000-0006-0000-0100-000002000000}">
      <text>
        <r>
          <rPr>
            <b/>
            <sz val="9"/>
            <color rgb="FF000000"/>
            <rFont val="Tahoma"/>
            <family val="2"/>
            <charset val="186"/>
          </rPr>
          <t xml:space="preserve">FDP: </t>
        </r>
        <r>
          <rPr>
            <sz val="9"/>
            <color rgb="FF000000"/>
            <rFont val="Tahoma"/>
            <family val="2"/>
            <charset val="204"/>
          </rPr>
          <t>Likuma "Par valsts budžetu 2019.gadam" paskaidrojumi, 2. sadaļa "Fiskālais apskats", http://fm.gov.lv/files/valstsbudzets/FMPask_D_060319_proj2019.pdf</t>
        </r>
      </text>
    </comment>
    <comment ref="AH4" authorId="1" shapeId="0" xr:uid="{00000000-0006-0000-0100-000003000000}">
      <text>
        <r>
          <rPr>
            <b/>
            <sz val="9"/>
            <color indexed="81"/>
            <rFont val="Tahoma"/>
            <family val="2"/>
            <charset val="186"/>
          </rPr>
          <t>Normunds Malnačs:</t>
        </r>
        <r>
          <rPr>
            <sz val="9"/>
            <color indexed="81"/>
            <rFont val="Tahoma"/>
            <family val="2"/>
            <charset val="186"/>
          </rPr>
          <t xml:space="preserve">
no bilance faila 07082020
</t>
        </r>
      </text>
    </comment>
    <comment ref="AN4" authorId="1" shapeId="0" xr:uid="{00000000-0006-0000-0100-000004000000}">
      <text>
        <r>
          <rPr>
            <b/>
            <sz val="9"/>
            <color indexed="81"/>
            <rFont val="Tahoma"/>
            <family val="2"/>
            <charset val="186"/>
          </rPr>
          <t>Normunds Malnačs:</t>
        </r>
        <r>
          <rPr>
            <sz val="9"/>
            <color indexed="81"/>
            <rFont val="Tahoma"/>
            <family val="2"/>
            <charset val="186"/>
          </rPr>
          <t xml:space="preserve">
Likums par valsts budžetu 2020. gadam
</t>
        </r>
      </text>
    </comment>
    <comment ref="M5" authorId="2" shapeId="0" xr:uid="{00000000-0006-0000-0100-000005000000}">
      <text>
        <r>
          <rPr>
            <b/>
            <sz val="9"/>
            <color indexed="81"/>
            <rFont val="Tahoma"/>
            <family val="2"/>
            <charset val="186"/>
          </rPr>
          <t xml:space="preserve">FDP: </t>
        </r>
        <r>
          <rPr>
            <sz val="9"/>
            <color indexed="81"/>
            <rFont val="Tahoma"/>
            <family val="2"/>
            <charset val="186"/>
          </rPr>
          <t>IKP prognozes izriet no 15.10.2018. makroekonomikas prognozēm.</t>
        </r>
      </text>
    </comment>
    <comment ref="N5" authorId="2" shapeId="0" xr:uid="{00000000-0006-0000-0100-000006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AA5" authorId="2" shapeId="0" xr:uid="{00000000-0006-0000-0100-000007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https://www.fm.gov.lv/files/valstsbudzets/FMPask_B_090519_bud2019.docx</t>
        </r>
      </text>
    </comment>
    <comment ref="AN5" authorId="1" shapeId="0" xr:uid="{00000000-0006-0000-0100-000008000000}">
      <text>
        <r>
          <rPr>
            <b/>
            <sz val="9"/>
            <color indexed="81"/>
            <rFont val="Tahoma"/>
            <family val="2"/>
            <charset val="186"/>
          </rPr>
          <t>Normunds Malnačs:</t>
        </r>
        <r>
          <rPr>
            <sz val="9"/>
            <color indexed="81"/>
            <rFont val="Tahoma"/>
            <family val="2"/>
            <charset val="186"/>
          </rPr>
          <t xml:space="preserve">
Saskaņā ar FM Covid-19 scenāriju 2020. gada aprīlī</t>
        </r>
      </text>
    </comment>
    <comment ref="M6" authorId="2" shapeId="0" xr:uid="{00000000-0006-0000-0100-000009000000}">
      <text>
        <r>
          <rPr>
            <b/>
            <sz val="9"/>
            <color indexed="81"/>
            <rFont val="Tahoma"/>
            <family val="2"/>
            <charset val="186"/>
          </rPr>
          <t xml:space="preserve">FDP: </t>
        </r>
        <r>
          <rPr>
            <sz val="9"/>
            <color indexed="81"/>
            <rFont val="Tahoma"/>
            <family val="2"/>
            <charset val="186"/>
          </rPr>
          <t>IKP prognozes un cikliskā komponente izriet no 24.03.2019. makroekonomikas prognožu precizējuma pēc CSB. http://fdp.gov.lv/files/uploaded/20190423_atjaunoti_makroekonomikas_raditaji.xlsx</t>
        </r>
      </text>
    </comment>
    <comment ref="N6" authorId="2" shapeId="0" xr:uid="{00000000-0006-0000-0100-00000A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R6" authorId="2" shapeId="0" xr:uid="{00000000-0006-0000-0100-00000B000000}">
      <text>
        <r>
          <rPr>
            <b/>
            <sz val="9"/>
            <color indexed="81"/>
            <rFont val="Tahoma"/>
            <family val="2"/>
            <charset val="186"/>
          </rPr>
          <t xml:space="preserve">FDP: </t>
        </r>
        <r>
          <rPr>
            <sz val="9"/>
            <color indexed="81"/>
            <rFont val="Tahoma"/>
            <family val="2"/>
            <charset val="186"/>
          </rPr>
          <t>IKP prognozes un cikliskā komponente izriet no 24.03.2019. makroekonomikas prognožu precizējuma pēc CSB. http://fdp.gov.lv/files/uploaded/201190423_atjaunoti_makroekonomikas_raditaji.xlsx</t>
        </r>
      </text>
    </comment>
    <comment ref="U6" authorId="1" shapeId="0" xr:uid="{00000000-0006-0000-0100-00000C000000}">
      <text>
        <r>
          <rPr>
            <b/>
            <sz val="9"/>
            <color indexed="81"/>
            <rFont val="Tahoma"/>
            <family val="2"/>
            <charset val="186"/>
          </rPr>
          <t>Normunds Malnačs:</t>
        </r>
        <r>
          <rPr>
            <sz val="9"/>
            <color indexed="81"/>
            <rFont val="Tahoma"/>
            <family val="2"/>
            <charset val="186"/>
          </rPr>
          <t xml:space="preserve">
MK ziņojums 20/08/19
</t>
        </r>
      </text>
    </comment>
    <comment ref="AA6" authorId="2" shapeId="0" xr:uid="{00000000-0006-0000-0100-00000D000000}">
      <text>
        <r>
          <rPr>
            <b/>
            <sz val="9"/>
            <color indexed="81"/>
            <rFont val="Tahoma"/>
            <family val="2"/>
            <charset val="186"/>
          </rPr>
          <t xml:space="preserve">FDP: </t>
        </r>
        <r>
          <rPr>
            <sz val="9"/>
            <color indexed="81"/>
            <rFont val="Tahoma"/>
            <family val="2"/>
            <charset val="186"/>
          </rPr>
          <t>Makroekonomiskās prognozes, kas bija par pamatu 2019.gada budžetam. https://www.fm.gov.lv/files/valstsbudzets/FMPask_B_090519_bud2019.docx</t>
        </r>
      </text>
    </comment>
    <comment ref="N7" authorId="2" shapeId="0" xr:uid="{00000000-0006-0000-0100-00000E000000}">
      <text>
        <r>
          <rPr>
            <b/>
            <sz val="9"/>
            <color indexed="81"/>
            <rFont val="Tahoma"/>
            <family val="2"/>
            <charset val="186"/>
          </rPr>
          <t xml:space="preserve">FDP: </t>
        </r>
        <r>
          <rPr>
            <sz val="9"/>
            <color indexed="81"/>
            <rFont val="Tahoma"/>
            <family val="2"/>
            <charset val="186"/>
          </rPr>
          <t>Likuma "Par valsts budžetu 2018.gadam" paskaidrojumi, 1. sadaļa "Makroekonomiskās attīstības apraksts", http://www.fm.gov.lv/files/files/FMPask_B_050218_bud2018.pdf</t>
        </r>
      </text>
    </comment>
    <comment ref="M8" authorId="2" shapeId="0" xr:uid="{00000000-0006-0000-0100-00000F000000}">
      <text>
        <r>
          <rPr>
            <b/>
            <sz val="9"/>
            <color indexed="81"/>
            <rFont val="Tahoma"/>
            <family val="2"/>
            <charset val="186"/>
          </rPr>
          <t xml:space="preserve">FDP: </t>
        </r>
        <r>
          <rPr>
            <sz val="9"/>
            <color indexed="81"/>
            <rFont val="Tahoma"/>
            <family val="2"/>
            <charset val="186"/>
          </rPr>
          <t xml:space="preserve">CSB notifikācijas rezultāts 18.04.2019.
</t>
        </r>
      </text>
    </comment>
    <comment ref="N8" authorId="2" shapeId="0" xr:uid="{00000000-0006-0000-0100-000010000000}">
      <text>
        <r>
          <rPr>
            <b/>
            <sz val="9"/>
            <color indexed="81"/>
            <rFont val="Tahoma"/>
            <family val="2"/>
            <charset val="186"/>
          </rPr>
          <t xml:space="preserve">FDP: </t>
        </r>
        <r>
          <rPr>
            <sz val="9"/>
            <color indexed="81"/>
            <rFont val="Tahoma"/>
            <family val="2"/>
            <charset val="186"/>
          </rPr>
          <t>Likuma "Par valsts budžetu 2018.gadam" paskaidrojumi, 2. sadaļa "Fiskālais apskats", https://www.fm.gov.lv/files/files/FMPask_D_050218_bud2018.pdf</t>
        </r>
      </text>
    </comment>
    <comment ref="M9" authorId="2" shapeId="0" xr:uid="{00000000-0006-0000-0100-000011000000}">
      <text>
        <r>
          <rPr>
            <b/>
            <sz val="9"/>
            <color indexed="81"/>
            <rFont val="Tahoma"/>
            <family val="2"/>
            <charset val="186"/>
          </rPr>
          <t xml:space="preserve">FDP: </t>
        </r>
        <r>
          <rPr>
            <sz val="9"/>
            <color indexed="81"/>
            <rFont val="Tahoma"/>
            <family val="2"/>
            <charset val="186"/>
          </rPr>
          <t xml:space="preserve">CSB notifikācijas rezultāts 18.04.2019.
</t>
        </r>
      </text>
    </comment>
    <comment ref="N9" authorId="2" shapeId="0" xr:uid="{00000000-0006-0000-0100-000012000000}">
      <text>
        <r>
          <rPr>
            <b/>
            <sz val="9"/>
            <color indexed="81"/>
            <rFont val="Tahoma"/>
            <family val="2"/>
            <charset val="186"/>
          </rPr>
          <t xml:space="preserve">FDP: </t>
        </r>
        <r>
          <rPr>
            <sz val="9"/>
            <color indexed="81"/>
            <rFont val="Tahoma"/>
            <family val="2"/>
            <charset val="186"/>
          </rPr>
          <t>Likuma "Par valsts budžetu 2018.gadam" paskaidrojumi, 2. sadaļa "Fiskālais apskats", https://www.fm.gov.lv/files/files/FMPask_D_050218_bud2018.pdf</t>
        </r>
      </text>
    </comment>
    <comment ref="AA9" authorId="2" shapeId="0" xr:uid="{00000000-0006-0000-0100-000013000000}">
      <text>
        <r>
          <rPr>
            <b/>
            <sz val="9"/>
            <color indexed="81"/>
            <rFont val="Tahoma"/>
            <family val="2"/>
            <charset val="186"/>
          </rPr>
          <t xml:space="preserve">FDP: </t>
        </r>
        <r>
          <rPr>
            <sz val="9"/>
            <color indexed="81"/>
            <rFont val="Tahoma"/>
            <family val="2"/>
            <charset val="186"/>
          </rPr>
          <t xml:space="preserve">Likuma "Par valsts budžetu 2019.gadam" paskaidrojumi, 2. sadaļa "Fiskālais apskats", https://www.fm.gov.lv/files/valstsbudzets/FMPask_D_090519_bud2019.docx
</t>
        </r>
      </text>
    </comment>
    <comment ref="AH9" authorId="1" shapeId="0" xr:uid="{00000000-0006-0000-0100-000014000000}">
      <text>
        <r>
          <rPr>
            <b/>
            <sz val="9"/>
            <color indexed="81"/>
            <rFont val="Tahoma"/>
            <family val="2"/>
            <charset val="186"/>
          </rPr>
          <t>Normunds Malnačs:</t>
        </r>
        <r>
          <rPr>
            <sz val="9"/>
            <color indexed="81"/>
            <rFont val="Tahoma"/>
            <family val="2"/>
            <charset val="186"/>
          </rPr>
          <t xml:space="preserve">
bilance_07082020 datne
</t>
        </r>
      </text>
    </comment>
    <comment ref="M10" authorId="2" shapeId="0" xr:uid="{00000000-0006-0000-0100-000015000000}">
      <text>
        <r>
          <rPr>
            <b/>
            <sz val="9"/>
            <color indexed="81"/>
            <rFont val="Tahoma"/>
            <family val="2"/>
            <charset val="186"/>
          </rPr>
          <t xml:space="preserve">FDP: </t>
        </r>
        <r>
          <rPr>
            <sz val="9"/>
            <color indexed="81"/>
            <rFont val="Tahoma"/>
            <family val="2"/>
            <charset val="186"/>
          </rPr>
          <t>SP2019./22. atjaunotā informācija.</t>
        </r>
      </text>
    </comment>
    <comment ref="N10" authorId="2" shapeId="0" xr:uid="{00000000-0006-0000-0100-000016000000}">
      <text>
        <r>
          <rPr>
            <b/>
            <sz val="9"/>
            <color indexed="81"/>
            <rFont val="Tahoma"/>
            <family val="2"/>
            <charset val="186"/>
          </rPr>
          <t>FDP:</t>
        </r>
        <r>
          <rPr>
            <sz val="9"/>
            <color indexed="81"/>
            <rFont val="Tahoma"/>
            <family val="2"/>
            <charset val="186"/>
          </rPr>
          <t xml:space="preserve"> Likuma "Par valsts budžetu 2018.gadam" paskaidrojumi, 2. sadaļa "Fiskālais apskats", https://www.fm.gov.lv/files/files/FMPask_D_050218_bud2018.pdf</t>
        </r>
      </text>
    </comment>
    <comment ref="R10" authorId="2" shapeId="0" xr:uid="{00000000-0006-0000-0100-000017000000}">
      <text>
        <r>
          <rPr>
            <b/>
            <sz val="9"/>
            <color indexed="81"/>
            <rFont val="Tahoma"/>
            <family val="2"/>
            <charset val="186"/>
          </rPr>
          <t xml:space="preserve">FDP: </t>
        </r>
        <r>
          <rPr>
            <sz val="9"/>
            <color indexed="81"/>
            <rFont val="Tahoma"/>
            <family val="2"/>
            <charset val="186"/>
          </rPr>
          <t>SP2019./22. atjaunotā informācija.</t>
        </r>
      </text>
    </comment>
    <comment ref="U10" authorId="1" shapeId="0" xr:uid="{00000000-0006-0000-0100-000018000000}">
      <text>
        <r>
          <rPr>
            <b/>
            <sz val="9"/>
            <color rgb="FF000000"/>
            <rFont val="Tahoma"/>
            <family val="2"/>
            <charset val="186"/>
          </rPr>
          <t>Normunds Malnačs:</t>
        </r>
        <r>
          <rPr>
            <sz val="9"/>
            <color rgb="FF000000"/>
            <rFont val="Tahoma"/>
            <family val="2"/>
            <charset val="186"/>
          </rPr>
          <t xml:space="preserve">
</t>
        </r>
        <r>
          <rPr>
            <sz val="9"/>
            <color rgb="FF000000"/>
            <rFont val="Tahoma"/>
            <family val="2"/>
            <charset val="186"/>
          </rPr>
          <t xml:space="preserve">MK 20/08/19 ziņojums
</t>
        </r>
      </text>
    </comment>
    <comment ref="W10" authorId="1" shapeId="0" xr:uid="{00000000-0006-0000-0100-000019000000}">
      <text>
        <r>
          <rPr>
            <b/>
            <sz val="9"/>
            <color rgb="FF000000"/>
            <rFont val="Tahoma"/>
            <family val="2"/>
            <charset val="186"/>
          </rPr>
          <t>Normunds Malnačs:</t>
        </r>
        <r>
          <rPr>
            <sz val="9"/>
            <color rgb="FF000000"/>
            <rFont val="Tahoma"/>
            <family val="2"/>
            <charset val="186"/>
          </rPr>
          <t xml:space="preserve">
</t>
        </r>
        <r>
          <rPr>
            <sz val="9"/>
            <color rgb="FF000000"/>
            <rFont val="Tahoma"/>
            <family val="2"/>
            <charset val="186"/>
          </rPr>
          <t>DBP 2020 14.10.2019</t>
        </r>
      </text>
    </comment>
    <comment ref="AA10" authorId="2" shapeId="0" xr:uid="{00000000-0006-0000-0100-00001A000000}">
      <text>
        <r>
          <rPr>
            <b/>
            <sz val="9"/>
            <color rgb="FF000000"/>
            <rFont val="Tahoma"/>
            <family val="2"/>
            <charset val="186"/>
          </rPr>
          <t xml:space="preserve">FDP: </t>
        </r>
        <r>
          <rPr>
            <sz val="9"/>
            <color rgb="FF000000"/>
            <rFont val="Tahoma"/>
            <family val="2"/>
            <charset val="186"/>
          </rPr>
          <t>Likuma "Par valsts budžetu 2019.gadam" paskaidrojumi, 2. sadaļa "Fiskālais apskats", https://www.fm.gov.lv/files/valstsbudzets/FMPask_D_090519_bud2019.docx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tc={6366BAD4-3272-4E0F-A7F3-9FC5B37C788D}</author>
    <author>tc={512FF821-CAE0-43F1-B96D-3CECE5243A9C}</author>
  </authors>
  <commentList>
    <comment ref="D23" authorId="0" shapeId="0" xr:uid="{6366BAD4-3272-4E0F-A7F3-9FC5B37C788D}">
      <text>
        <t>[Threaded comment]
Your version of Excel allows you to read this threaded comment; however, any edits to it will get removed if the file is opened in a newer version of Excel. Learn more: https://go.microsoft.com/fwlink/?linkid=870924
Comment:
    Lineāri sadalīts uz 12 mēnešiem</t>
      </text>
    </comment>
    <comment ref="E23" authorId="1" shapeId="0" xr:uid="{512FF821-CAE0-43F1-B96D-3CECE5243A9C}">
      <text>
        <t>[Threaded comment]
Your version of Excel allows you to read this threaded comment; however, any edits to it will get removed if the file is opened in a newer version of Excel. Learn more: https://go.microsoft.com/fwlink/?linkid=870924
Comment:
    Lineāri sadalīts uz 12 mēnešiem</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tc={7A7BA34C-1969-440A-943E-9654F4F1E7AE}</author>
  </authors>
  <commentList>
    <comment ref="B45" authorId="0" shapeId="0" xr:uid="{7A7BA34C-1969-440A-943E-9654F4F1E7AE}">
      <text>
        <t>[Threaded comment]
Your version of Excel allows you to read this threaded comment; however, any edits to it will get removed if the file is opened in a newer version of Excel. Learn more: https://go.microsoft.com/fwlink/?linkid=870924
Comment:
    Indirect(address(row(); count(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<sst xmlns="http://schemas.openxmlformats.org/spreadsheetml/2006/main" count="1469" uniqueCount="245">
  <si>
    <t>KONSOLIDĒTAIS KOPBUDŽETS</t>
  </si>
  <si>
    <t>KOPBUDŽETA BILANCE</t>
  </si>
  <si>
    <t>Ieņēmumi</t>
  </si>
  <si>
    <t>Nodokļu ieņēmumi</t>
  </si>
  <si>
    <t>Nenodokļu ieņēmumi</t>
  </si>
  <si>
    <t>Pašu ieņēmumi</t>
  </si>
  <si>
    <t>Pārējie ieņēmumi</t>
  </si>
  <si>
    <t>Izdevumi</t>
  </si>
  <si>
    <t>Atlīdzība</t>
  </si>
  <si>
    <t>Preces un pakalpojumi</t>
  </si>
  <si>
    <t>Procentu izdevumi</t>
  </si>
  <si>
    <t>Subsīdijas un dotācijas</t>
  </si>
  <si>
    <t>Sociālie pabalsti</t>
  </si>
  <si>
    <t>Kapitālie izdevumi</t>
  </si>
  <si>
    <t>Pārējie izdevumi</t>
  </si>
  <si>
    <t>VALSTS BUDŽETA BILANCE</t>
  </si>
  <si>
    <t>VALSTS PAMATBUDŽETA BILANCE</t>
  </si>
  <si>
    <t>VALSTS SPECIĀLĀ BUDŽETA BILANCE</t>
  </si>
  <si>
    <t>ATVAS. PUBL. PERS. BUDŽETA BILANCE</t>
  </si>
  <si>
    <t>PAŠVALDĪBU BUDŽETA BILANCE</t>
  </si>
  <si>
    <t>Avots: Valsts Kase</t>
  </si>
  <si>
    <t>23.11.2017.</t>
  </si>
  <si>
    <t>Starpība</t>
  </si>
  <si>
    <t>Faktiskā izpilde</t>
  </si>
  <si>
    <t>EKS korekcijas</t>
  </si>
  <si>
    <t>Vispārējās valdības budžeta bilance</t>
  </si>
  <si>
    <t>Vispārējās valdības budžeta bilance, % no IKP</t>
  </si>
  <si>
    <t>Vienreizējie un citi īslaicīgie pasākumi, % no IKP</t>
  </si>
  <si>
    <t>Bilances cikliskā komponente, % no IKP</t>
  </si>
  <si>
    <t>Strukturālā vispārējās valdības budžeta bilance, % no IKP</t>
  </si>
  <si>
    <t>Mēnesis</t>
  </si>
  <si>
    <t>t</t>
  </si>
  <si>
    <t>dec</t>
  </si>
  <si>
    <t>Budžeta ietvarā plānotais mērķis</t>
  </si>
  <si>
    <t>Konsolidētā kopbudžeta bilance, % no IKP</t>
  </si>
  <si>
    <t>Konsolidētā kopbudžeta bilance, tūkst. eiro</t>
  </si>
  <si>
    <t>Tabula / Table</t>
  </si>
  <si>
    <t>Nosaukums</t>
  </si>
  <si>
    <t>Title</t>
  </si>
  <si>
    <t>Konsolidētais kopbudžets (kumulatīvie dati), milj. eiro</t>
  </si>
  <si>
    <t>Konsolidētais kopbudžets (ikmēneša dati), milj. eiro</t>
  </si>
  <si>
    <t>Kumulatīvs kopsavilkums par valsts pamatbudžeta izdevumu daļas izpildi</t>
  </si>
  <si>
    <t>Consolidated government (cumulative data), million euro</t>
  </si>
  <si>
    <t>Cumulative data charts</t>
  </si>
  <si>
    <t>Consolidated government (monthly data), million euro</t>
  </si>
  <si>
    <t>Monthly data charts</t>
  </si>
  <si>
    <t>Cumulative summary of the execution of parts of the State basic budget expenditure</t>
  </si>
  <si>
    <t>Budžeta izdevumu daļas izpilde decembra mēnešos</t>
  </si>
  <si>
    <t>Execution of budget expenditure in December months</t>
  </si>
  <si>
    <t>The annual State budget law from expenditures (and revenue) side monitoring, taking as the source Treasury data</t>
  </si>
  <si>
    <t>Faktiski iekasētais, uzkrātās vērtībās (tūkst. eiro)</t>
  </si>
  <si>
    <t>t-1</t>
  </si>
  <si>
    <t>Konsolidētais kopbudžets</t>
  </si>
  <si>
    <t>Ieņēmumi, tūkst. €</t>
  </si>
  <si>
    <t>Izdevumi, tūkst. €</t>
  </si>
  <si>
    <t>Bilance, tūkst. €</t>
  </si>
  <si>
    <t>Ieņēmumi, % no IKP</t>
  </si>
  <si>
    <t>Izdevumi, % no IKP</t>
  </si>
  <si>
    <t>Bilance, % no IKP</t>
  </si>
  <si>
    <t>Valsts pamatbudžeta bilance, tūkst. eiro</t>
  </si>
  <si>
    <t>Valsts pamatbudžeta bilance, % no IKP</t>
  </si>
  <si>
    <t>x</t>
  </si>
  <si>
    <t>t-2</t>
  </si>
  <si>
    <t>Valsts pamatbudžets</t>
  </si>
  <si>
    <t>Valsts speciālais budžets</t>
  </si>
  <si>
    <t>Pašvaldību budžets</t>
  </si>
  <si>
    <t>Valsts speciālā budžeta bilance, tūkst. eiro</t>
  </si>
  <si>
    <t>Valsts speciālā budžeta bilance, % no IKP</t>
  </si>
  <si>
    <t>Pašvaldību budžeta bilance, tūkst. eiro</t>
  </si>
  <si>
    <t>Pašvaldību budžeta bilance, % no IKP</t>
  </si>
  <si>
    <t>2-5</t>
  </si>
  <si>
    <t>3-6</t>
  </si>
  <si>
    <t>4-7</t>
  </si>
  <si>
    <t>t-3</t>
  </si>
  <si>
    <t>Nodokļu ieņēmumi, t.sk. VSAOI</t>
  </si>
  <si>
    <t>03.04.2019.</t>
  </si>
  <si>
    <t>VALSTS KONSOLIDĒTĀ BUDŽETA BILANCE</t>
  </si>
  <si>
    <t>2020 fakts</t>
  </si>
  <si>
    <t>IKP</t>
  </si>
  <si>
    <t>2021 fakts</t>
  </si>
  <si>
    <t>2022 plāns</t>
  </si>
  <si>
    <t>Valsts pamatbudžeta un speciālā budžeta kopējā bilance, tūkst. eiro</t>
  </si>
  <si>
    <t>Valsts pamatbudžeta un speciālā budžeta kopējā bilance, % no IKP</t>
  </si>
  <si>
    <t>Valsts pamatbudžets + speciālais budžets</t>
  </si>
  <si>
    <t>Grafiki</t>
  </si>
  <si>
    <t>Pārējie grafiki</t>
  </si>
  <si>
    <t>Other charts</t>
  </si>
  <si>
    <t>Konsolidētā kopbudžeta bilances dinamika pēdējos divos gados</t>
  </si>
  <si>
    <t>Bilance (% no IKP)</t>
  </si>
  <si>
    <t>Kopbudžeta bilance</t>
  </si>
  <si>
    <t>Pamatbudžeta bilance</t>
  </si>
  <si>
    <t>Speciālā budžeta bilance</t>
  </si>
  <si>
    <t>Pašvaldību budžeta bilance</t>
  </si>
  <si>
    <t>Valsts speciālais+pamatbudžets budžets</t>
  </si>
  <si>
    <t>Faktiski iekasētais (tūkst. eiro) atskaites mēnesī</t>
  </si>
  <si>
    <t>2022 fakts</t>
  </si>
  <si>
    <t>2023 plāns</t>
  </si>
  <si>
    <t>2023 fakts</t>
  </si>
  <si>
    <t>2023M10</t>
  </si>
  <si>
    <t>2023M11</t>
  </si>
  <si>
    <t>2023M12</t>
  </si>
  <si>
    <t>2024M01</t>
  </si>
  <si>
    <t>2024M02</t>
  </si>
  <si>
    <t>2024M03</t>
  </si>
  <si>
    <t>2024M04</t>
  </si>
  <si>
    <t>2024M05</t>
  </si>
  <si>
    <t>2024M06</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</si>
  <si>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</si>
  <si>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</si>
  <si>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</si>
  <si>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</si>
  <si>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</si>
  <si>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</si>
  <si>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</si>
  <si>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</si>
  <si>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</si>
  <si>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</si>
  <si>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</si>
  <si>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</si>
  <si>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</si>
  <si>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</si>
  <si>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</si>
  <si>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</si>
  <si>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</si>
  <si>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</si>
  <si>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</si>
  <si>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</si>
  <si>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</si>
  <si>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</si>
  <si>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</si>
  <si>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</si>
  <si>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</si>
  <si>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</si>
  <si>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</si>
  <si>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</si>
  <si>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</si>
  <si>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</si>
  <si>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</si>
  <si>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</si>
  <si>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</si>
  <si>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</si>
  <si>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</si>
  <si>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</si>
  <si>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2023M06</t>
  </si>
  <si>
    <t>2023M07</t>
  </si>
  <si>
    <t>2023M08</t>
  </si>
  <si>
    <t>2023M09</t>
  </si>
  <si>
    <t>Procentu izdevumu pieaguma temps (% pret iepriekšējā gada attiecīgo mēnesi)</t>
  </si>
  <si>
    <t>Faktiski iekasētie procentu izdevumi (tūkst. eiro) atskaites mēnesī (KONSOLIDĒTAIS KOPBUDŽETS)</t>
  </si>
  <si>
    <t>Faktiski iekasētie atlīdzības izdevumi (tūkst. eiro) atskaites mēnesī (KONSOLIDĒTAIS KOPBUDŽETS)</t>
  </si>
  <si>
    <t>2023M01</t>
  </si>
  <si>
    <t>2023M02</t>
  </si>
  <si>
    <t>2023M03</t>
  </si>
  <si>
    <t>2023M04</t>
  </si>
  <si>
    <t>2023M05</t>
  </si>
  <si>
    <t>Izmaiņas pret iepriekšējo periodu, %</t>
  </si>
  <si>
    <t>Janvāris</t>
  </si>
  <si>
    <t>Februāris</t>
  </si>
  <si>
    <t>Marts</t>
  </si>
  <si>
    <t>Aprīlis</t>
  </si>
  <si>
    <t>Maijs</t>
  </si>
  <si>
    <t>Jūnijs</t>
  </si>
  <si>
    <t>Jūlijs</t>
  </si>
  <si>
    <t>Augusts</t>
  </si>
  <si>
    <t>Septembris</t>
  </si>
  <si>
    <t>Oktobris</t>
  </si>
  <si>
    <t>Novembris</t>
  </si>
  <si>
    <t>Decembris</t>
  </si>
  <si>
    <t>Kopā</t>
  </si>
  <si>
    <t>Budžetu uzkrātie ieņēmumi, izdevumi un bilances pārskata mēnesī</t>
  </si>
  <si>
    <t>Kopbudžeta ieņēmumu sadalījums pārskata mēnesī</t>
  </si>
  <si>
    <t>Kopbudžeta izdevumu sadalījums pārskata mēnesī</t>
  </si>
  <si>
    <r>
      <t>Konsolidētais kopbudžets (</t>
    </r>
    <r>
      <rPr>
        <b/>
        <sz val="11"/>
        <color theme="1"/>
        <rFont val="Calibri"/>
        <family val="2"/>
        <charset val="186"/>
        <scheme val="minor"/>
      </rPr>
      <t>ikmēneša dati</t>
    </r>
    <r>
      <rPr>
        <sz val="11"/>
        <color theme="1"/>
        <rFont val="Calibri"/>
        <family val="2"/>
        <scheme val="minor"/>
      </rPr>
      <t>), tūkst. eiro</t>
    </r>
  </si>
  <si>
    <r>
      <t>Konsolidētais kopbudžets (</t>
    </r>
    <r>
      <rPr>
        <b/>
        <sz val="11"/>
        <color theme="1"/>
        <rFont val="Calibri"/>
        <family val="2"/>
        <charset val="186"/>
        <scheme val="minor"/>
      </rPr>
      <t>kumulatīvie</t>
    </r>
    <r>
      <rPr>
        <sz val="11"/>
        <color theme="1"/>
        <rFont val="Calibri"/>
        <family val="2"/>
        <scheme val="minor"/>
      </rPr>
      <t xml:space="preserve"> </t>
    </r>
    <r>
      <rPr>
        <b/>
        <sz val="11"/>
        <color theme="1"/>
        <rFont val="Calibri"/>
        <family val="2"/>
        <charset val="186"/>
        <scheme val="minor"/>
      </rPr>
      <t>dati</t>
    </r>
    <r>
      <rPr>
        <sz val="11"/>
        <color theme="1"/>
        <rFont val="Calibri"/>
        <family val="2"/>
        <scheme val="minor"/>
      </rPr>
      <t>), tūkst. eiro</t>
    </r>
  </si>
  <si>
    <r>
      <t>Konsolidētais kopbudžets (</t>
    </r>
    <r>
      <rPr>
        <b/>
        <sz val="11"/>
        <color theme="1"/>
        <rFont val="Calibri"/>
        <family val="2"/>
        <charset val="186"/>
        <scheme val="minor"/>
      </rPr>
      <t>ikmēneša dati</t>
    </r>
    <r>
      <rPr>
        <sz val="11"/>
        <color theme="1"/>
        <rFont val="Calibri"/>
        <family val="2"/>
        <charset val="186"/>
        <scheme val="minor"/>
      </rPr>
      <t>), tūkst. eiro</t>
    </r>
  </si>
  <si>
    <r>
      <t>Konsolidētais kopbudžets (</t>
    </r>
    <r>
      <rPr>
        <b/>
        <sz val="11"/>
        <color theme="1"/>
        <rFont val="Calibri"/>
        <family val="2"/>
        <charset val="186"/>
        <scheme val="minor"/>
      </rPr>
      <t>kumulatīvie dati</t>
    </r>
    <r>
      <rPr>
        <sz val="11"/>
        <color theme="1"/>
        <rFont val="Calibri"/>
        <family val="2"/>
        <charset val="186"/>
        <scheme val="minor"/>
      </rPr>
      <t>), tūkst. eiro</t>
    </r>
  </si>
  <si>
    <t>Kumulatīvo datu grafiki</t>
  </si>
  <si>
    <t>Ikmēneša datu grafiki</t>
  </si>
  <si>
    <t>2024M07</t>
  </si>
  <si>
    <t>Finansējums no ES fondiem</t>
  </si>
  <si>
    <t>2024M08</t>
  </si>
  <si>
    <t>2024M09</t>
  </si>
  <si>
    <t>Izmaiņas pret iepriekšējo periodu, tūkst. eiro</t>
  </si>
  <si>
    <t>2024M10</t>
  </si>
  <si>
    <t>2024M11</t>
  </si>
  <si>
    <t>2024M12</t>
  </si>
  <si>
    <t>2024 fakts</t>
  </si>
  <si>
    <t>2025 (P)</t>
  </si>
  <si>
    <t>Gada faktiskais iznākums</t>
  </si>
  <si>
    <t>Actual annual outcome</t>
  </si>
  <si>
    <t>Faktiskais gada iznākums (tūkst. eiro)</t>
  </si>
  <si>
    <t>Budžeta likumā apstiprinātais plāns</t>
  </si>
  <si>
    <t>Novirze,       tūkst. eiro</t>
  </si>
  <si>
    <t>Novirze, %</t>
  </si>
  <si>
    <t>-</t>
  </si>
  <si>
    <t>2025M01</t>
  </si>
  <si>
    <t>Pārējie ieņēmumi*</t>
  </si>
  <si>
    <t>* Ietver transfertus (5.0) un ziedojumus un dāvinājumus (6.0).</t>
  </si>
  <si>
    <t>Pārējie izdevumi**</t>
  </si>
  <si>
    <t>2025M02</t>
  </si>
  <si>
    <t>Avots: Valsts Kase (faktiskā izpilde)</t>
  </si>
  <si>
    <t>2025M03</t>
  </si>
  <si>
    <t>2025M04</t>
  </si>
  <si>
    <t>Pieauguma temps, %</t>
  </si>
  <si>
    <t>2025M05</t>
  </si>
  <si>
    <t>Bilance</t>
  </si>
  <si>
    <t>2025M06</t>
  </si>
  <si>
    <t xml:space="preserve"> </t>
  </si>
  <si>
    <t>2025M07</t>
  </si>
  <si>
    <t>2025M08</t>
  </si>
  <si>
    <t>2025M09</t>
  </si>
  <si>
    <t>2025M10</t>
  </si>
  <si>
    <t xml:space="preserve">Gadskārtējā valsts budžeta likuma izdevumu (un ieņēmumu) daļas izpildes monitorings, izmantojot Valsts kases datus </t>
  </si>
  <si>
    <t>2025M11</t>
  </si>
  <si>
    <t>CSP IKP020</t>
  </si>
  <si>
    <t>2025M12</t>
  </si>
  <si>
    <t>Avots: Finanšu ministrija (Budžeta likumā apstiprinātais plāns (valsts budžeta plāns; pašvaldību budžeta un atvas. publ. pers. budžeta prognoze)).</t>
  </si>
  <si>
    <t>* Ietver transfertus (5.0), ziedojumus un dāvinājumus (6.0) un ieņēmumus, kuri veidojas pēc uzkrāšanas principa (8.0).</t>
  </si>
  <si>
    <t>2026 prognoze</t>
  </si>
  <si>
    <t>2025  (P)</t>
  </si>
  <si>
    <t>2026 (P)</t>
  </si>
  <si>
    <t>='1'!DC11-'1'!DB11</t>
  </si>
  <si>
    <t>Check</t>
  </si>
  <si>
    <t>AVG 2023-2025</t>
  </si>
  <si>
    <t>BL</t>
  </si>
  <si>
    <t>Budžeta likuma gada plāns (04.12.2025)</t>
  </si>
  <si>
    <t>% no gada plāna</t>
  </si>
  <si>
    <t>Fakts</t>
  </si>
  <si>
    <t>Gada plāns</t>
  </si>
  <si>
    <t>Atlikums</t>
  </si>
  <si>
    <t>** Ietver kārtējos maksājumus Eiropas Savienības budžetā un starptautisko sadarbību (1.4), transfertus viena budžeta veida ietvaros un uzturēšanas izdevumu transfertus starp budžeta veidiem (1.5) un pārējos izdevumus, kas veidojas pēc uzkrāšanas principa un nav klasificēti iepriekš (3.0).</t>
  </si>
  <si>
    <t>2026M01</t>
  </si>
  <si>
    <r>
      <t>Ekstrapolēta izdevumu prognoze (</t>
    </r>
    <r>
      <rPr>
        <b/>
        <sz val="11"/>
        <color theme="1"/>
        <rFont val="Calibri"/>
        <family val="2"/>
        <charset val="186"/>
        <scheme val="minor"/>
      </rPr>
      <t>ikmēneša; tūkst. eiro</t>
    </r>
    <r>
      <rPr>
        <sz val="11"/>
        <color theme="1"/>
        <rFont val="Calibri"/>
        <family val="2"/>
        <charset val="186"/>
        <scheme val="minor"/>
      </rPr>
      <t>)</t>
    </r>
  </si>
  <si>
    <r>
      <t>Ekstrapolēta izdevumu prognoze (</t>
    </r>
    <r>
      <rPr>
        <b/>
        <sz val="11"/>
        <color theme="1"/>
        <rFont val="Calibri"/>
        <family val="2"/>
        <charset val="186"/>
        <scheme val="minor"/>
      </rPr>
      <t>kumulatīvi; tūst. eiro</t>
    </r>
    <r>
      <rPr>
        <sz val="11"/>
        <color theme="1"/>
        <rFont val="Calibri"/>
        <family val="2"/>
        <charset val="186"/>
        <scheme val="minor"/>
      </rPr>
      <t>)</t>
    </r>
  </si>
  <si>
    <r>
      <t>Izdevumu plāna izpilde (</t>
    </r>
    <r>
      <rPr>
        <b/>
        <sz val="11"/>
        <color theme="1"/>
        <rFont val="Calibri"/>
        <family val="2"/>
        <charset val="186"/>
        <scheme val="minor"/>
      </rPr>
      <t>kumulatīvi; %</t>
    </r>
    <r>
      <rPr>
        <sz val="11"/>
        <color theme="1"/>
        <rFont val="Calibri"/>
        <family val="2"/>
        <charset val="186"/>
        <scheme val="minor"/>
      </rPr>
      <t>)</t>
    </r>
  </si>
  <si>
    <t>*Budžeta likumā apstiprinātais izdevumu plāns 2026. gadam (valsts budžeta plāns; pašvaldību budžeta un atvas. publ. pers. budžeta prognoze) ekstrapolēts pa mēnešiem, balstoties uz 2023.–2025. gada vidējo ikmēneša izdevumu īpatsvaru. Prognoze tiek izmantota izdevumu dinamikas monitorēšanai un agrīnai risku identificēšanai attiecībā uz gada izdevumu plāna ievērošanu.</t>
  </si>
  <si>
    <t>2025 fakts</t>
  </si>
  <si>
    <t>2026M02</t>
  </si>
  <si>
    <t>2026M03</t>
  </si>
  <si>
    <t>2026M04</t>
  </si>
  <si>
    <t>2026M05</t>
  </si>
  <si>
    <t>Makroprognozes_2026_06_05</t>
  </si>
  <si>
    <t>Atjaunots: 17.07.2026.</t>
  </si>
  <si>
    <t>2026M06</t>
  </si>
  <si>
    <t>2026M07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</si>
</sst>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00"/>
    <numFmt numFmtId="165" formatCode="yyyy/mm"/>
    <numFmt numFmtId="166" formatCode="0.0"/>
    <numFmt numFmtId="167" formatCode="#,##0.0"/>
    <numFmt numFmtId="168" formatCode="mmm"/>
    <numFmt numFmtId="169" formatCode="0&quot;.&quot;0"/>
    <numFmt numFmtId="170" formatCode="_-* #,##0.00\ &quot;DM&quot;_-;\-* #,##0.00\ &quot;DM&quot;_-;_-* &quot;-&quot;??\ &quot;DM&quot;_-;_-@_-"/>
    <numFmt numFmtId="171" formatCode="_-* #,##0.00\ _D_M_-;\-* #,##0.00\ _D_M_-;_-* &quot;-&quot;??\ _D_M_-;_-@_-"/>
    <numFmt numFmtId="172" formatCode="#,##0.0000"/>
    <numFmt numFmtId="173" formatCode="_-* #,##0_-;\-* #,##0_-;_-* &quot;-&quot;??_-;_-@_-"/>
    <numFmt numFmtId="174" formatCode="[$-F800]dddd\,\ mmmm\ dd\,\ yyyy"/>
    <numFmt numFmtId="175" formatCode="0.00000000"/>
    <numFmt numFmtId="176" formatCode="0.0%"/>
    <numFmt numFmtId="177" formatCode="#,##0.000"/>
  </numFmts>
  <fonts count="104">
    <font>
      <sz val="11"/>
      <color theme="1"/>
      <name val="Calibri"/>
      <family val="2"/>
      <charset val="186"/>
      <scheme val="minor"/>
    </font>
    <font>
      <sz val="10"/>
      <name val="Arial"/>
      <family val="2"/>
      <charset val="204"/>
    </font>
    <font>
      <u/>
      <sz val="11"/>
      <color theme="10"/>
      <name val="Calibri"/>
      <family val="2"/>
      <charset val="186"/>
      <scheme val="minor"/>
    </font>
    <font>
      <sz val="9"/>
      <color indexed="81"/>
      <name val="Tahoma"/>
      <family val="2"/>
      <charset val="204"/>
    </font>
    <font>
      <sz val="9"/>
      <color indexed="81"/>
      <name val="Tahoma"/>
      <family val="2"/>
      <charset val="186"/>
    </font>
    <font>
      <sz val="11"/>
      <color theme="1"/>
      <name val="Calibri"/>
      <family val="2"/>
      <charset val="186"/>
      <scheme val="minor"/>
    </font>
    <font>
      <sz val="10"/>
      <color indexed="8"/>
      <name val="Times New Roman"/>
      <family val="1"/>
      <charset val="186"/>
    </font>
    <font>
      <b/>
      <sz val="9"/>
      <color indexed="81"/>
      <name val="Tahoma"/>
      <family val="2"/>
      <charset val="186"/>
    </font>
    <font>
      <sz val="10"/>
      <name val="Arial"/>
      <family val="2"/>
      <charset val="186"/>
    </font>
    <font>
      <sz val="11"/>
      <color theme="1"/>
      <name val="Calibri Light"/>
      <family val="2"/>
      <charset val="186"/>
      <scheme val="major"/>
    </font>
    <font>
      <sz val="8"/>
      <color theme="1"/>
      <name val="Calibri Light"/>
      <family val="2"/>
      <charset val="186"/>
      <scheme val="major"/>
    </font>
    <font>
      <i/>
      <sz val="10"/>
      <color theme="1"/>
      <name val="Calibri Light"/>
      <family val="2"/>
      <charset val="186"/>
      <scheme val="major"/>
    </font>
    <font>
      <b/>
      <i/>
      <sz val="10"/>
      <color theme="1"/>
      <name val="Calibri Light"/>
      <family val="2"/>
      <charset val="186"/>
      <scheme val="major"/>
    </font>
    <font>
      <i/>
      <sz val="10"/>
      <name val="Calibri Light"/>
      <family val="2"/>
      <charset val="186"/>
      <scheme val="major"/>
    </font>
    <font>
      <sz val="10"/>
      <color theme="1"/>
      <name val="Calibri Light"/>
      <family val="2"/>
      <charset val="186"/>
      <scheme val="major"/>
    </font>
    <font>
      <b/>
      <sz val="10"/>
      <color theme="1"/>
      <name val="Calibri Light"/>
      <family val="2"/>
      <charset val="186"/>
      <scheme val="major"/>
    </font>
    <font>
      <i/>
      <sz val="9"/>
      <color theme="1"/>
      <name val="Calibri Light"/>
      <family val="2"/>
      <charset val="186"/>
      <scheme val="major"/>
    </font>
    <font>
      <u/>
      <sz val="8"/>
      <color theme="10"/>
      <name val="Calibri Light"/>
      <family val="2"/>
      <charset val="186"/>
      <scheme val="major"/>
    </font>
    <font>
      <i/>
      <sz val="8"/>
      <color theme="1"/>
      <name val="Calibri Light"/>
      <family val="2"/>
      <charset val="186"/>
      <scheme val="major"/>
    </font>
    <font>
      <b/>
      <sz val="11"/>
      <color theme="1"/>
      <name val="Calibri Light"/>
      <family val="2"/>
      <charset val="186"/>
      <scheme val="major"/>
    </font>
    <font>
      <i/>
      <sz val="11"/>
      <color theme="1"/>
      <name val="Calibri Light"/>
      <family val="2"/>
      <charset val="186"/>
      <scheme val="major"/>
    </font>
    <font>
      <sz val="12"/>
      <color theme="1"/>
      <name val="Calibri Light"/>
      <family val="2"/>
      <charset val="186"/>
      <scheme val="major"/>
    </font>
    <font>
      <b/>
      <sz val="10"/>
      <name val="Calibri Light"/>
      <family val="2"/>
      <charset val="186"/>
      <scheme val="major"/>
    </font>
    <font>
      <sz val="10"/>
      <name val="Times New Roman"/>
      <family val="1"/>
      <charset val="186"/>
    </font>
    <font>
      <sz val="10"/>
      <color theme="1"/>
      <name val="Times New Roman"/>
      <family val="2"/>
      <charset val="186"/>
    </font>
    <font>
      <sz val="11"/>
      <color indexed="8"/>
      <name val="Calibri"/>
      <family val="2"/>
    </font>
    <font>
      <sz val="11"/>
      <color indexed="9"/>
      <name val="Calibri"/>
      <family val="2"/>
    </font>
    <font>
      <b/>
      <sz val="11"/>
      <color indexed="8"/>
      <name val="Calibri"/>
      <family val="2"/>
    </font>
    <font>
      <sz val="10"/>
      <name val="BaltHelvetica"/>
    </font>
    <font>
      <sz val="10"/>
      <color indexed="8"/>
      <name val="Arial"/>
      <family val="2"/>
    </font>
    <font>
      <b/>
      <sz val="18"/>
      <color indexed="62"/>
      <name val="Cambria"/>
      <family val="2"/>
    </font>
    <font>
      <sz val="10"/>
      <name val="Helv"/>
    </font>
    <font>
      <sz val="10"/>
      <name val="BaltGaramond"/>
      <family val="2"/>
      <charset val="186"/>
    </font>
    <font>
      <sz val="9"/>
      <name val="Times New Roman"/>
      <family val="1"/>
      <charset val="186"/>
    </font>
    <font>
      <sz val="11"/>
      <color indexed="16"/>
      <name val="Calibri"/>
      <family val="2"/>
    </font>
    <font>
      <b/>
      <sz val="11"/>
      <color indexed="53"/>
      <name val="Calibri"/>
      <family val="2"/>
    </font>
    <font>
      <b/>
      <sz val="11"/>
      <color indexed="9"/>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9"/>
      <color indexed="8"/>
      <name val="Times New Roman"/>
      <family val="1"/>
      <charset val="186"/>
    </font>
    <font>
      <b/>
      <sz val="10"/>
      <color indexed="39"/>
      <name val="Arial"/>
      <family val="2"/>
    </font>
    <font>
      <b/>
      <sz val="10"/>
      <color indexed="8"/>
      <name val="Arial"/>
      <family val="2"/>
    </font>
    <font>
      <sz val="9"/>
      <color indexed="8"/>
      <name val="Times New Roman"/>
      <family val="1"/>
      <charset val="186"/>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9"/>
      <color indexed="10"/>
      <name val="Times New Roman"/>
      <family val="1"/>
      <charset val="186"/>
    </font>
    <font>
      <sz val="11"/>
      <color indexed="10"/>
      <name val="Calibri"/>
      <family val="2"/>
    </font>
    <font>
      <u/>
      <sz val="10"/>
      <color indexed="12"/>
      <name val="Arial"/>
      <family val="2"/>
      <charset val="186"/>
    </font>
    <font>
      <b/>
      <sz val="8"/>
      <name val="Arial"/>
      <family val="2"/>
    </font>
    <font>
      <sz val="8"/>
      <name val="Arial"/>
      <family val="2"/>
    </font>
    <font>
      <sz val="11"/>
      <color indexed="8"/>
      <name val="Calibri"/>
      <family val="2"/>
      <charset val="186"/>
    </font>
    <font>
      <sz val="11"/>
      <color indexed="9"/>
      <name val="Calibri"/>
      <family val="2"/>
      <charset val="186"/>
    </font>
    <font>
      <i/>
      <sz val="11"/>
      <color indexed="23"/>
      <name val="Calibri"/>
      <family val="2"/>
      <charset val="186"/>
    </font>
    <font>
      <b/>
      <sz val="18"/>
      <color indexed="56"/>
      <name val="Cambria"/>
      <family val="2"/>
      <charset val="186"/>
    </font>
    <font>
      <sz val="10"/>
      <color indexed="9"/>
      <name val="Arial"/>
      <family val="2"/>
    </font>
    <font>
      <i/>
      <sz val="10"/>
      <color indexed="23"/>
      <name val="Arial"/>
      <family val="2"/>
    </font>
    <font>
      <b/>
      <sz val="10"/>
      <color indexed="8"/>
      <name val="Arial"/>
      <family val="2"/>
      <charset val="186"/>
    </font>
    <font>
      <sz val="10"/>
      <color indexed="10"/>
      <name val="Arial"/>
      <family val="2"/>
    </font>
    <font>
      <sz val="10"/>
      <name val="Arial"/>
      <family val="2"/>
      <charset val="186"/>
    </font>
    <font>
      <sz val="10"/>
      <name val="Arial"/>
      <family val="2"/>
      <charset val="186"/>
    </font>
    <font>
      <u/>
      <sz val="10"/>
      <color indexed="12"/>
      <name val="Times New Roman"/>
      <family val="1"/>
      <charset val="186"/>
    </font>
    <font>
      <u/>
      <sz val="10"/>
      <color theme="10"/>
      <name val="Arial"/>
      <family val="2"/>
      <charset val="186"/>
    </font>
    <font>
      <i/>
      <u/>
      <sz val="9"/>
      <color theme="10"/>
      <name val="Calibri"/>
      <family val="2"/>
      <charset val="186"/>
      <scheme val="minor"/>
    </font>
    <font>
      <b/>
      <sz val="9"/>
      <color rgb="FF000000"/>
      <name val="Tahoma"/>
      <family val="2"/>
      <charset val="186"/>
    </font>
    <font>
      <sz val="9"/>
      <color rgb="FF000000"/>
      <name val="Tahoma"/>
      <family val="2"/>
      <charset val="186"/>
    </font>
    <font>
      <sz val="9"/>
      <color rgb="FF000000"/>
      <name val="Tahoma"/>
      <family val="2"/>
      <charset val="204"/>
    </font>
    <font>
      <sz val="10"/>
      <name val="Calibri Light"/>
      <family val="2"/>
      <charset val="186"/>
      <scheme val="major"/>
    </font>
    <font>
      <sz val="11"/>
      <color rgb="FF000000"/>
      <name val="Calibri"/>
      <family val="2"/>
    </font>
    <font>
      <b/>
      <sz val="16"/>
      <color theme="1"/>
      <name val="Calibri"/>
      <family val="2"/>
      <charset val="186"/>
      <scheme val="minor"/>
    </font>
    <font>
      <i/>
      <sz val="9"/>
      <name val="Calibri Light"/>
      <family val="2"/>
      <charset val="186"/>
      <scheme val="major"/>
    </font>
    <font>
      <sz val="11"/>
      <name val="Calibri"/>
      <family val="2"/>
      <charset val="186"/>
      <scheme val="minor"/>
    </font>
    <font>
      <b/>
      <i/>
      <sz val="10"/>
      <name val="Calibri Light"/>
      <family val="2"/>
      <charset val="186"/>
      <scheme val="major"/>
    </font>
    <font>
      <sz val="11"/>
      <color theme="0"/>
      <name val="Calibri"/>
      <family val="2"/>
      <charset val="186"/>
      <scheme val="minor"/>
    </font>
    <font>
      <sz val="8"/>
      <name val="Calibri Light"/>
      <family val="2"/>
      <charset val="186"/>
      <scheme val="major"/>
    </font>
    <font>
      <sz val="11"/>
      <name val="Calibri Light"/>
      <family val="2"/>
      <charset val="186"/>
      <scheme val="major"/>
    </font>
    <font>
      <sz val="11"/>
      <color rgb="FFFF0000"/>
      <name val="Calibri"/>
      <family val="2"/>
      <charset val="186"/>
      <scheme val="minor"/>
    </font>
    <font>
      <b/>
      <sz val="11"/>
      <color theme="1"/>
      <name val="Calibri"/>
      <family val="2"/>
      <charset val="186"/>
      <scheme val="minor"/>
    </font>
    <font>
      <b/>
      <sz val="11"/>
      <color rgb="FFFF0000"/>
      <name val="Calibri"/>
      <family val="2"/>
      <charset val="186"/>
      <scheme val="minor"/>
    </font>
    <font>
      <sz val="8"/>
      <name val="Calibri"/>
      <family val="2"/>
      <charset val="186"/>
      <scheme val="minor"/>
    </font>
    <font>
      <sz val="11"/>
      <color theme="1"/>
      <name val="Calibri"/>
      <family val="2"/>
      <scheme val="minor"/>
    </font>
    <font>
      <sz val="11"/>
      <color theme="1"/>
      <name val="Calibri"/>
      <family val="2"/>
      <charset val="186"/>
    </font>
    <font>
      <b/>
      <sz val="11"/>
      <name val="Calibri"/>
      <family val="2"/>
      <charset val="186"/>
      <scheme val="minor"/>
    </font>
    <font>
      <sz val="10"/>
      <color rgb="FFFF0000"/>
      <name val="Calibri Light"/>
      <family val="2"/>
      <charset val="186"/>
      <scheme val="major"/>
    </font>
    <font>
      <i/>
      <sz val="9"/>
      <color theme="1"/>
      <name val="Calibri"/>
      <family val="2"/>
      <charset val="186"/>
      <scheme val="minor"/>
    </font>
    <font>
      <i/>
      <sz val="9"/>
      <color rgb="FFFF0000"/>
      <name val="Calibri"/>
      <family val="2"/>
      <charset val="186"/>
      <scheme val="minor"/>
    </font>
    <font>
      <b/>
      <sz val="11"/>
      <color theme="0"/>
      <name val="Calibri"/>
      <family val="2"/>
      <charset val="186"/>
      <scheme val="minor"/>
    </font>
    <font>
      <b/>
      <sz val="10"/>
      <color theme="0" tint="-0.499984740745262"/>
      <name val="Calibri Light"/>
      <family val="2"/>
      <charset val="186"/>
      <scheme val="major"/>
    </font>
    <font>
      <i/>
      <sz val="10"/>
      <color theme="0" tint="-0.499984740745262"/>
      <name val="Calibri Light"/>
      <family val="2"/>
      <charset val="186"/>
      <scheme val="major"/>
    </font>
    <font>
      <sz val="11"/>
      <color theme="0" tint="-0.499984740745262"/>
      <name val="Calibri Light"/>
      <family val="2"/>
      <charset val="186"/>
      <scheme val="major"/>
    </font>
    <font>
      <sz val="10"/>
      <color theme="0" tint="-0.499984740745262"/>
      <name val="Calibri Light"/>
      <family val="2"/>
      <charset val="186"/>
      <scheme val="major"/>
    </font>
    <font>
      <i/>
      <sz val="9"/>
      <color theme="0" tint="-0.499984740745262"/>
      <name val="Calibri Light"/>
      <family val="2"/>
      <charset val="186"/>
      <scheme val="major"/>
    </font>
    <font>
      <sz val="11"/>
      <color theme="0" tint="-0.34998626667073579"/>
      <name val="Calibri"/>
      <family val="2"/>
      <charset val="186"/>
      <scheme val="minor"/>
    </font>
    <font>
      <i/>
      <sz val="9"/>
      <name val="Calibri"/>
      <family val="2"/>
      <charset val="186"/>
      <scheme val="minor"/>
    </font>
    <font>
      <sz val="9"/>
      <color theme="1"/>
      <name val="Calibri Light"/>
      <family val="2"/>
      <charset val="186"/>
      <scheme val="major"/>
    </font>
    <font>
      <sz val="8"/>
      <color theme="0"/>
      <name val="Calibri Light"/>
      <family val="2"/>
      <charset val="186"/>
      <scheme val="major"/>
    </font>
    <font>
      <i/>
      <sz val="10"/>
      <color theme="1"/>
      <name val="Calibri"/>
      <family val="2"/>
      <charset val="186"/>
      <scheme val="minor"/>
    </font>
  </fonts>
  <fills count="7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9"/>
        <bgColor indexed="9"/>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9"/>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theme="2" tint="-0.249977111117893"/>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79998168889431442"/>
        <bgColor indexed="64"/>
      </patternFill>
    </fill>
  </fills>
  <borders count="64">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right/>
      <top style="hair">
        <color indexed="64"/>
      </top>
      <bottom style="hair">
        <color indexed="64"/>
      </bottom>
      <diagonal/>
    </border>
    <border>
      <left style="hair">
        <color auto="1"/>
      </left>
      <right style="medium">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right style="medium">
        <color indexed="64"/>
      </right>
      <top style="hair">
        <color indexed="64"/>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diagonal/>
    </border>
    <border>
      <left/>
      <right/>
      <top style="hair">
        <color auto="1"/>
      </top>
      <bottom/>
      <diagonal/>
    </border>
    <border>
      <left style="thin">
        <color indexed="64"/>
      </left>
      <right style="medium">
        <color auto="1"/>
      </right>
      <top style="hair">
        <color auto="1"/>
      </top>
      <bottom style="hair">
        <color auto="1"/>
      </bottom>
      <diagonal/>
    </border>
    <border>
      <left/>
      <right/>
      <top/>
      <bottom style="thin">
        <color indexed="64"/>
      </bottom>
      <diagonal/>
    </border>
    <border>
      <left/>
      <right style="thick">
        <color auto="1"/>
      </right>
      <top style="hair">
        <color auto="1"/>
      </top>
      <bottom style="hair">
        <color auto="1"/>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top style="hair">
        <color theme="1" tint="0.499984740745262"/>
      </top>
      <bottom style="hair">
        <color theme="1" tint="0.499984740745262"/>
      </bottom>
      <diagonal/>
    </border>
    <border>
      <left style="hair">
        <color theme="1" tint="0.499984740745262"/>
      </left>
      <right style="hair">
        <color theme="1" tint="0.499984740745262"/>
      </right>
      <top/>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style="hair">
        <color theme="1" tint="0.499984740745262"/>
      </right>
      <top/>
      <bottom style="hair">
        <color theme="1" tint="0.499984740745262"/>
      </bottom>
      <diagonal/>
    </border>
    <border>
      <left style="thick">
        <color indexed="64"/>
      </left>
      <right/>
      <top style="hair">
        <color auto="1"/>
      </top>
      <bottom style="hair">
        <color auto="1"/>
      </bottom>
      <diagonal/>
    </border>
    <border>
      <left/>
      <right/>
      <top style="thin">
        <color indexed="64"/>
      </top>
      <bottom style="thin">
        <color indexed="64"/>
      </bottom>
      <diagonal/>
    </border>
    <border>
      <left style="thin">
        <color indexed="64"/>
      </left>
      <right/>
      <top style="hair">
        <color auto="1"/>
      </top>
      <bottom style="hair">
        <color auto="1"/>
      </bottom>
      <diagonal/>
    </border>
    <border>
      <left style="thin">
        <color indexed="64"/>
      </left>
      <right style="thick">
        <color indexed="64"/>
      </right>
      <top style="hair">
        <color auto="1"/>
      </top>
      <bottom style="hair">
        <color auto="1"/>
      </bottom>
      <diagonal/>
    </border>
    <border>
      <left/>
      <right style="thin">
        <color indexed="64"/>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hair">
        <color auto="1"/>
      </bottom>
      <diagonal/>
    </border>
    <border>
      <left/>
      <right style="thin">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475">
    <xf numFmtId="0" fontId="0" fillId="0" borderId="0"/>
    <xf numFmtId="0" fontId="1" fillId="0" borderId="0"/>
    <xf numFmtId="0" fontId="2" fillId="0" borderId="0" applyNumberFormat="0" applyFill="0" applyBorder="0" applyAlignment="0" applyProtection="0"/>
    <xf numFmtId="0" fontId="5" fillId="0" borderId="0"/>
    <xf numFmtId="4" fontId="6" fillId="0" borderId="0" applyNumberFormat="0" applyProtection="0">
      <alignment horizontal="right" wrapText="1"/>
    </xf>
    <xf numFmtId="0" fontId="8" fillId="0" borderId="0"/>
    <xf numFmtId="0" fontId="8" fillId="0" borderId="0"/>
    <xf numFmtId="0" fontId="24" fillId="0" borderId="0"/>
    <xf numFmtId="0" fontId="58" fillId="7" borderId="0" applyNumberFormat="0" applyBorder="0" applyAlignment="0" applyProtection="0"/>
    <xf numFmtId="0" fontId="29" fillId="8" borderId="0" applyNumberFormat="0" applyBorder="0" applyAlignment="0" applyProtection="0"/>
    <xf numFmtId="0" fontId="58" fillId="7" borderId="0" applyNumberFormat="0" applyBorder="0" applyAlignment="0" applyProtection="0"/>
    <xf numFmtId="0" fontId="58" fillId="9" borderId="0" applyNumberFormat="0" applyBorder="0" applyAlignment="0" applyProtection="0"/>
    <xf numFmtId="0" fontId="29" fillId="10" borderId="0" applyNumberFormat="0" applyBorder="0" applyAlignment="0" applyProtection="0"/>
    <xf numFmtId="0" fontId="58" fillId="9" borderId="0" applyNumberFormat="0" applyBorder="0" applyAlignment="0" applyProtection="0"/>
    <xf numFmtId="0" fontId="58" fillId="11" borderId="0" applyNumberFormat="0" applyBorder="0" applyAlignment="0" applyProtection="0"/>
    <xf numFmtId="0" fontId="29" fillId="12" borderId="0" applyNumberFormat="0" applyBorder="0" applyAlignment="0" applyProtection="0"/>
    <xf numFmtId="0" fontId="58" fillId="11" borderId="0" applyNumberFormat="0" applyBorder="0" applyAlignment="0" applyProtection="0"/>
    <xf numFmtId="0" fontId="58" fillId="13" borderId="0" applyNumberFormat="0" applyBorder="0" applyAlignment="0" applyProtection="0"/>
    <xf numFmtId="0" fontId="29" fillId="14" borderId="0" applyNumberFormat="0" applyBorder="0" applyAlignment="0" applyProtection="0"/>
    <xf numFmtId="0" fontId="58" fillId="13" borderId="0" applyNumberFormat="0" applyBorder="0" applyAlignment="0" applyProtection="0"/>
    <xf numFmtId="0" fontId="58" fillId="15" borderId="0" applyNumberFormat="0" applyBorder="0" applyAlignment="0" applyProtection="0"/>
    <xf numFmtId="0" fontId="29" fillId="16" borderId="0" applyNumberFormat="0" applyBorder="0" applyAlignment="0" applyProtection="0"/>
    <xf numFmtId="0" fontId="58" fillId="15" borderId="0" applyNumberFormat="0" applyBorder="0" applyAlignment="0" applyProtection="0"/>
    <xf numFmtId="0" fontId="58" fillId="17" borderId="0" applyNumberFormat="0" applyBorder="0" applyAlignment="0" applyProtection="0"/>
    <xf numFmtId="0" fontId="29" fillId="9" borderId="0" applyNumberFormat="0" applyBorder="0" applyAlignment="0" applyProtection="0"/>
    <xf numFmtId="0" fontId="58" fillId="17" borderId="0" applyNumberFormat="0" applyBorder="0" applyAlignment="0" applyProtection="0"/>
    <xf numFmtId="0" fontId="58" fillId="16" borderId="0" applyNumberFormat="0" applyBorder="0" applyAlignment="0" applyProtection="0"/>
    <xf numFmtId="0" fontId="29" fillId="18" borderId="0" applyNumberFormat="0" applyBorder="0" applyAlignment="0" applyProtection="0"/>
    <xf numFmtId="0" fontId="58" fillId="16" borderId="0" applyNumberFormat="0" applyBorder="0" applyAlignment="0" applyProtection="0"/>
    <xf numFmtId="0" fontId="58" fillId="10" borderId="0" applyNumberFormat="0" applyBorder="0" applyAlignment="0" applyProtection="0"/>
    <xf numFmtId="0" fontId="29" fillId="10" borderId="0" applyNumberFormat="0" applyBorder="0" applyAlignment="0" applyProtection="0"/>
    <xf numFmtId="0" fontId="58" fillId="10" borderId="0" applyNumberFormat="0" applyBorder="0" applyAlignment="0" applyProtection="0"/>
    <xf numFmtId="0" fontId="58" fillId="19" borderId="0" applyNumberFormat="0" applyBorder="0" applyAlignment="0" applyProtection="0"/>
    <xf numFmtId="0" fontId="29" fillId="20" borderId="0" applyNumberFormat="0" applyBorder="0" applyAlignment="0" applyProtection="0"/>
    <xf numFmtId="0" fontId="58" fillId="19" borderId="0" applyNumberFormat="0" applyBorder="0" applyAlignment="0" applyProtection="0"/>
    <xf numFmtId="0" fontId="58" fillId="13" borderId="0" applyNumberFormat="0" applyBorder="0" applyAlignment="0" applyProtection="0"/>
    <xf numFmtId="0" fontId="29" fillId="21" borderId="0" applyNumberFormat="0" applyBorder="0" applyAlignment="0" applyProtection="0"/>
    <xf numFmtId="0" fontId="58" fillId="13" borderId="0" applyNumberFormat="0" applyBorder="0" applyAlignment="0" applyProtection="0"/>
    <xf numFmtId="0" fontId="58" fillId="16" borderId="0" applyNumberFormat="0" applyBorder="0" applyAlignment="0" applyProtection="0"/>
    <xf numFmtId="0" fontId="29" fillId="18" borderId="0" applyNumberFormat="0" applyBorder="0" applyAlignment="0" applyProtection="0"/>
    <xf numFmtId="0" fontId="58" fillId="16" borderId="0" applyNumberFormat="0" applyBorder="0" applyAlignment="0" applyProtection="0"/>
    <xf numFmtId="0" fontId="58" fillId="22" borderId="0" applyNumberFormat="0" applyBorder="0" applyAlignment="0" applyProtection="0"/>
    <xf numFmtId="0" fontId="29" fillId="17" borderId="0" applyNumberFormat="0" applyBorder="0" applyAlignment="0" applyProtection="0"/>
    <xf numFmtId="0" fontId="58" fillId="22" borderId="0" applyNumberFormat="0" applyBorder="0" applyAlignment="0" applyProtection="0"/>
    <xf numFmtId="0" fontId="59" fillId="23" borderId="0" applyNumberFormat="0" applyBorder="0" applyAlignment="0" applyProtection="0"/>
    <xf numFmtId="0" fontId="62" fillId="18" borderId="0" applyNumberFormat="0" applyBorder="0" applyAlignment="0" applyProtection="0"/>
    <xf numFmtId="0" fontId="59" fillId="23" borderId="0" applyNumberFormat="0" applyBorder="0" applyAlignment="0" applyProtection="0"/>
    <xf numFmtId="0" fontId="59" fillId="10" borderId="0" applyNumberFormat="0" applyBorder="0" applyAlignment="0" applyProtection="0"/>
    <xf numFmtId="0" fontId="62" fillId="10" borderId="0" applyNumberFormat="0" applyBorder="0" applyAlignment="0" applyProtection="0"/>
    <xf numFmtId="0" fontId="59" fillId="10" borderId="0" applyNumberFormat="0" applyBorder="0" applyAlignment="0" applyProtection="0"/>
    <xf numFmtId="0" fontId="59" fillId="19" borderId="0" applyNumberFormat="0" applyBorder="0" applyAlignment="0" applyProtection="0"/>
    <xf numFmtId="0" fontId="62" fillId="20" borderId="0" applyNumberFormat="0" applyBorder="0" applyAlignment="0" applyProtection="0"/>
    <xf numFmtId="0" fontId="59" fillId="19" borderId="0" applyNumberFormat="0" applyBorder="0" applyAlignment="0" applyProtection="0"/>
    <xf numFmtId="0" fontId="59" fillId="24" borderId="0" applyNumberFormat="0" applyBorder="0" applyAlignment="0" applyProtection="0"/>
    <xf numFmtId="0" fontId="62" fillId="21"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62"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62" fillId="17" borderId="0" applyNumberFormat="0" applyBorder="0" applyAlignment="0" applyProtection="0"/>
    <xf numFmtId="0" fontId="59"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6" fillId="33"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38" borderId="0" applyNumberFormat="0" applyBorder="0" applyAlignment="0" applyProtection="0"/>
    <xf numFmtId="0" fontId="25" fillId="43" borderId="0" applyNumberFormat="0" applyBorder="0" applyAlignment="0" applyProtection="0"/>
    <xf numFmtId="0" fontId="26" fillId="30" borderId="0" applyNumberFormat="0" applyBorder="0" applyAlignment="0" applyProtection="0"/>
    <xf numFmtId="0" fontId="26" fillId="44"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5" fillId="38" borderId="0" applyNumberFormat="0" applyBorder="0" applyAlignment="0" applyProtection="0"/>
    <xf numFmtId="0" fontId="25" fillId="36" borderId="0" applyNumberFormat="0" applyBorder="0" applyAlignment="0" applyProtection="0"/>
    <xf numFmtId="0" fontId="25" fillId="30" borderId="0" applyNumberFormat="0" applyBorder="0" applyAlignment="0" applyProtection="0"/>
    <xf numFmtId="0" fontId="25" fillId="39" borderId="0" applyNumberFormat="0" applyBorder="0" applyAlignment="0" applyProtection="0"/>
    <xf numFmtId="0" fontId="26" fillId="30" borderId="0" applyNumberFormat="0" applyBorder="0" applyAlignment="0" applyProtection="0"/>
    <xf numFmtId="0" fontId="26" fillId="38"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5" fillId="27"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26" fillId="29" borderId="0" applyNumberFormat="0" applyBorder="0" applyAlignment="0" applyProtection="0"/>
    <xf numFmtId="0" fontId="26" fillId="32"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5" fillId="48" borderId="0" applyNumberFormat="0" applyBorder="0" applyAlignment="0" applyProtection="0"/>
    <xf numFmtId="0" fontId="25" fillId="37" borderId="0" applyNumberFormat="0" applyBorder="0" applyAlignment="0" applyProtection="0"/>
    <xf numFmtId="0" fontId="25" fillId="49"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52" borderId="9" applyNumberFormat="0" applyAlignment="0" applyProtection="0"/>
    <xf numFmtId="0" fontId="35" fillId="52" borderId="9" applyNumberFormat="0" applyAlignment="0" applyProtection="0"/>
    <xf numFmtId="0" fontId="35" fillId="52" borderId="9" applyNumberFormat="0" applyAlignment="0" applyProtection="0"/>
    <xf numFmtId="0" fontId="36" fillId="39" borderId="10" applyNumberFormat="0" applyAlignment="0" applyProtection="0"/>
    <xf numFmtId="0" fontId="36" fillId="39" borderId="10" applyNumberFormat="0" applyAlignment="0" applyProtection="0"/>
    <xf numFmtId="0" fontId="36" fillId="39" borderId="10" applyNumberFormat="0" applyAlignment="0" applyProtection="0"/>
    <xf numFmtId="43" fontId="8" fillId="0" borderId="0" applyFont="0" applyFill="0" applyBorder="0" applyAlignment="0" applyProtection="0"/>
    <xf numFmtId="171" fontId="8" fillId="0" borderId="0" applyFont="0" applyFill="0" applyBorder="0" applyAlignment="0" applyProtection="0"/>
    <xf numFmtId="170" fontId="8" fillId="0" borderId="0" applyFont="0" applyFill="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8" fillId="0" borderId="0"/>
    <xf numFmtId="0" fontId="60" fillId="0" borderId="0" applyNumberFormat="0" applyFill="0" applyBorder="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7" fillId="58" borderId="0" applyNumberFormat="0" applyBorder="0" applyAlignment="0" applyProtection="0"/>
    <xf numFmtId="0" fontId="38" fillId="0" borderId="11"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39" fillId="0" borderId="12" applyNumberFormat="0" applyFill="0" applyAlignment="0" applyProtection="0"/>
    <xf numFmtId="0" fontId="40" fillId="0" borderId="13" applyNumberFormat="0" applyFill="0" applyAlignment="0" applyProtection="0"/>
    <xf numFmtId="0" fontId="40" fillId="0" borderId="13" applyNumberFormat="0" applyFill="0" applyAlignment="0" applyProtection="0"/>
    <xf numFmtId="0" fontId="40" fillId="0" borderId="13" applyNumberFormat="0" applyFill="0" applyAlignment="0" applyProtection="0"/>
    <xf numFmtId="0" fontId="40" fillId="0" borderId="0" applyNumberFormat="0" applyFill="0" applyBorder="0" applyAlignment="0" applyProtection="0"/>
    <xf numFmtId="0" fontId="55"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xf numFmtId="0" fontId="55" fillId="0" borderId="0" applyNumberFormat="0" applyFill="0" applyBorder="0" applyAlignment="0" applyProtection="0"/>
    <xf numFmtId="0" fontId="41" fillId="49" borderId="9" applyNumberFormat="0" applyAlignment="0" applyProtection="0"/>
    <xf numFmtId="0" fontId="41" fillId="49" borderId="9" applyNumberFormat="0" applyAlignment="0" applyProtection="0"/>
    <xf numFmtId="0" fontId="41" fillId="49" borderId="9" applyNumberFormat="0" applyAlignment="0" applyProtection="0"/>
    <xf numFmtId="0" fontId="42" fillId="0" borderId="14" applyNumberFormat="0" applyFill="0" applyAlignment="0" applyProtection="0"/>
    <xf numFmtId="0" fontId="42" fillId="0" borderId="14" applyNumberFormat="0" applyFill="0" applyAlignment="0" applyProtection="0"/>
    <xf numFmtId="0" fontId="42" fillId="0" borderId="14" applyNumberFormat="0" applyFill="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66" fillId="0" borderId="0"/>
    <xf numFmtId="0" fontId="67"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8" borderId="15" applyNumberFormat="0" applyFont="0" applyAlignment="0" applyProtection="0"/>
    <xf numFmtId="0" fontId="8" fillId="48" borderId="15" applyNumberFormat="0" applyFont="0" applyAlignment="0" applyProtection="0"/>
    <xf numFmtId="0" fontId="8" fillId="48" borderId="15" applyNumberFormat="0" applyFont="0" applyAlignment="0" applyProtection="0"/>
    <xf numFmtId="0" fontId="44" fillId="52" borderId="16" applyNumberFormat="0" applyAlignment="0" applyProtection="0"/>
    <xf numFmtId="0" fontId="44" fillId="52" borderId="16" applyNumberFormat="0" applyAlignment="0" applyProtection="0"/>
    <xf numFmtId="0" fontId="44" fillId="52" borderId="16" applyNumberFormat="0" applyAlignment="0" applyProtection="0"/>
    <xf numFmtId="0" fontId="2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4" fontId="45" fillId="60" borderId="17" applyNumberFormat="0" applyProtection="0">
      <alignment vertical="center"/>
    </xf>
    <xf numFmtId="0" fontId="8" fillId="0" borderId="0"/>
    <xf numFmtId="4" fontId="47" fillId="59" borderId="18" applyNumberFormat="0" applyProtection="0">
      <alignment vertical="center"/>
    </xf>
    <xf numFmtId="0" fontId="8" fillId="0" borderId="0"/>
    <xf numFmtId="0" fontId="8" fillId="0" borderId="0"/>
    <xf numFmtId="4" fontId="46" fillId="59" borderId="18" applyNumberFormat="0" applyProtection="0">
      <alignment vertical="center"/>
    </xf>
    <xf numFmtId="0" fontId="8" fillId="0" borderId="0"/>
    <xf numFmtId="4" fontId="46" fillId="59" borderId="18" applyNumberFormat="0" applyProtection="0">
      <alignment vertical="center"/>
    </xf>
    <xf numFmtId="0" fontId="8" fillId="0" borderId="0"/>
    <xf numFmtId="0" fontId="8" fillId="0" borderId="0"/>
    <xf numFmtId="4" fontId="45" fillId="60" borderId="17" applyNumberFormat="0" applyProtection="0">
      <alignment horizontal="left" vertical="center" indent="1"/>
    </xf>
    <xf numFmtId="0" fontId="8" fillId="0" borderId="0"/>
    <xf numFmtId="4" fontId="47" fillId="59" borderId="18" applyNumberFormat="0" applyProtection="0">
      <alignment horizontal="left" vertical="center" indent="1"/>
    </xf>
    <xf numFmtId="0" fontId="8" fillId="0" borderId="0"/>
    <xf numFmtId="0" fontId="8" fillId="0" borderId="0"/>
    <xf numFmtId="0" fontId="47" fillId="59" borderId="18" applyNumberFormat="0" applyProtection="0">
      <alignment horizontal="left" vertical="top" indent="1"/>
    </xf>
    <xf numFmtId="0" fontId="8" fillId="0" borderId="0"/>
    <xf numFmtId="0" fontId="8" fillId="0" borderId="0"/>
    <xf numFmtId="0" fontId="8" fillId="0" borderId="0"/>
    <xf numFmtId="4" fontId="45" fillId="0" borderId="19" applyNumberFormat="0" applyProtection="0">
      <alignment horizontal="left" vertical="center" wrapText="1" indent="1"/>
    </xf>
    <xf numFmtId="4" fontId="64" fillId="61" borderId="0" applyNumberFormat="0" applyProtection="0">
      <alignment horizontal="left" vertical="center"/>
    </xf>
    <xf numFmtId="4" fontId="47" fillId="8" borderId="0" applyNumberFormat="0" applyProtection="0">
      <alignment horizontal="left" vertical="center" indent="1"/>
    </xf>
    <xf numFmtId="4" fontId="64" fillId="61" borderId="0" applyNumberFormat="0" applyProtection="0">
      <alignment horizontal="left" vertical="center"/>
    </xf>
    <xf numFmtId="0" fontId="8" fillId="0" borderId="0"/>
    <xf numFmtId="4" fontId="29" fillId="9" borderId="18" applyNumberFormat="0" applyProtection="0">
      <alignment horizontal="right" vertical="center"/>
    </xf>
    <xf numFmtId="0" fontId="8" fillId="0" borderId="0"/>
    <xf numFmtId="4" fontId="29" fillId="9" borderId="18" applyNumberFormat="0" applyProtection="0">
      <alignment horizontal="right" vertical="center"/>
    </xf>
    <xf numFmtId="0" fontId="8" fillId="0" borderId="0"/>
    <xf numFmtId="0" fontId="8" fillId="0" borderId="0"/>
    <xf numFmtId="4" fontId="29" fillId="10" borderId="18" applyNumberFormat="0" applyProtection="0">
      <alignment horizontal="right" vertical="center"/>
    </xf>
    <xf numFmtId="0" fontId="8" fillId="0" borderId="0"/>
    <xf numFmtId="4" fontId="29" fillId="10" borderId="18" applyNumberFormat="0" applyProtection="0">
      <alignment horizontal="right" vertical="center"/>
    </xf>
    <xf numFmtId="0" fontId="8" fillId="0" borderId="0"/>
    <xf numFmtId="0" fontId="8" fillId="0" borderId="0"/>
    <xf numFmtId="4" fontId="29" fillId="34" borderId="18" applyNumberFormat="0" applyProtection="0">
      <alignment horizontal="right" vertical="center"/>
    </xf>
    <xf numFmtId="0" fontId="8" fillId="0" borderId="0"/>
    <xf numFmtId="4" fontId="29" fillId="34" borderId="18" applyNumberFormat="0" applyProtection="0">
      <alignment horizontal="right" vertical="center"/>
    </xf>
    <xf numFmtId="0" fontId="8" fillId="0" borderId="0"/>
    <xf numFmtId="0" fontId="8" fillId="0" borderId="0"/>
    <xf numFmtId="4" fontId="29" fillId="22" borderId="18" applyNumberFormat="0" applyProtection="0">
      <alignment horizontal="right" vertical="center"/>
    </xf>
    <xf numFmtId="0" fontId="8" fillId="0" borderId="0"/>
    <xf numFmtId="4" fontId="29" fillId="22" borderId="18" applyNumberFormat="0" applyProtection="0">
      <alignment horizontal="right" vertical="center"/>
    </xf>
    <xf numFmtId="0" fontId="8" fillId="0" borderId="0"/>
    <xf numFmtId="0" fontId="8" fillId="0" borderId="0"/>
    <xf numFmtId="4" fontId="29" fillId="26" borderId="18" applyNumberFormat="0" applyProtection="0">
      <alignment horizontal="right" vertical="center"/>
    </xf>
    <xf numFmtId="0" fontId="8" fillId="0" borderId="0"/>
    <xf numFmtId="4" fontId="29" fillId="26" borderId="18" applyNumberFormat="0" applyProtection="0">
      <alignment horizontal="right" vertical="center"/>
    </xf>
    <xf numFmtId="0" fontId="8" fillId="0" borderId="0"/>
    <xf numFmtId="0" fontId="8" fillId="0" borderId="0"/>
    <xf numFmtId="4" fontId="29" fillId="47" borderId="18" applyNumberFormat="0" applyProtection="0">
      <alignment horizontal="right" vertical="center"/>
    </xf>
    <xf numFmtId="0" fontId="8" fillId="0" borderId="0"/>
    <xf numFmtId="4" fontId="29" fillId="47" borderId="18" applyNumberFormat="0" applyProtection="0">
      <alignment horizontal="right" vertical="center"/>
    </xf>
    <xf numFmtId="0" fontId="8" fillId="0" borderId="0"/>
    <xf numFmtId="0" fontId="8" fillId="0" borderId="0"/>
    <xf numFmtId="4" fontId="29" fillId="20" borderId="18" applyNumberFormat="0" applyProtection="0">
      <alignment horizontal="right" vertical="center"/>
    </xf>
    <xf numFmtId="0" fontId="8" fillId="0" borderId="0"/>
    <xf numFmtId="4" fontId="29" fillId="20" borderId="18" applyNumberFormat="0" applyProtection="0">
      <alignment horizontal="right" vertical="center"/>
    </xf>
    <xf numFmtId="0" fontId="8" fillId="0" borderId="0"/>
    <xf numFmtId="0" fontId="8" fillId="0" borderId="0"/>
    <xf numFmtId="4" fontId="29" fillId="62" borderId="18" applyNumberFormat="0" applyProtection="0">
      <alignment horizontal="right" vertical="center"/>
    </xf>
    <xf numFmtId="0" fontId="8" fillId="0" borderId="0"/>
    <xf numFmtId="4" fontId="29" fillId="62" borderId="18" applyNumberFormat="0" applyProtection="0">
      <alignment horizontal="right" vertical="center"/>
    </xf>
    <xf numFmtId="0" fontId="8" fillId="0" borderId="0"/>
    <xf numFmtId="0" fontId="8" fillId="0" borderId="0"/>
    <xf numFmtId="4" fontId="29" fillId="19" borderId="18" applyNumberFormat="0" applyProtection="0">
      <alignment horizontal="right" vertical="center"/>
    </xf>
    <xf numFmtId="0" fontId="8" fillId="0" borderId="0"/>
    <xf numFmtId="4" fontId="29" fillId="19" borderId="18" applyNumberFormat="0" applyProtection="0">
      <alignment horizontal="right" vertical="center"/>
    </xf>
    <xf numFmtId="0" fontId="8" fillId="0" borderId="0"/>
    <xf numFmtId="0" fontId="8" fillId="0" borderId="0"/>
    <xf numFmtId="4" fontId="47" fillId="63" borderId="20" applyNumberFormat="0" applyProtection="0">
      <alignment horizontal="left" vertical="center" indent="1"/>
    </xf>
    <xf numFmtId="0" fontId="8" fillId="0" borderId="0"/>
    <xf numFmtId="4" fontId="47" fillId="63" borderId="20" applyNumberFormat="0" applyProtection="0">
      <alignment horizontal="left" vertical="center" indent="1"/>
    </xf>
    <xf numFmtId="0" fontId="8" fillId="0" borderId="0"/>
    <xf numFmtId="0" fontId="8" fillId="0" borderId="0"/>
    <xf numFmtId="4" fontId="48" fillId="0" borderId="19" applyNumberFormat="0" applyProtection="0">
      <alignment horizontal="left" vertical="center" wrapText="1" indent="1"/>
    </xf>
    <xf numFmtId="0" fontId="8" fillId="0" borderId="0"/>
    <xf numFmtId="4" fontId="29" fillId="64" borderId="0" applyNumberFormat="0" applyProtection="0">
      <alignment horizontal="left" vertical="center" indent="1"/>
    </xf>
    <xf numFmtId="0" fontId="8" fillId="0" borderId="0"/>
    <xf numFmtId="0" fontId="8" fillId="0" borderId="0"/>
    <xf numFmtId="4" fontId="49" fillId="18" borderId="0" applyNumberFormat="0" applyProtection="0">
      <alignment horizontal="left" vertical="center" indent="1"/>
    </xf>
    <xf numFmtId="4" fontId="49" fillId="18" borderId="0" applyNumberFormat="0" applyProtection="0">
      <alignment horizontal="left" vertical="center" indent="1"/>
    </xf>
    <xf numFmtId="4" fontId="49" fillId="18" borderId="0" applyNumberFormat="0" applyProtection="0">
      <alignment horizontal="left" vertical="center" indent="1"/>
    </xf>
    <xf numFmtId="0" fontId="8" fillId="0" borderId="0"/>
    <xf numFmtId="0" fontId="8" fillId="0" borderId="0"/>
    <xf numFmtId="4" fontId="29" fillId="8" borderId="18" applyNumberFormat="0" applyProtection="0">
      <alignment horizontal="right" vertical="center"/>
    </xf>
    <xf numFmtId="0" fontId="8" fillId="0" borderId="0"/>
    <xf numFmtId="4" fontId="29" fillId="8" borderId="18" applyNumberFormat="0" applyProtection="0">
      <alignment horizontal="right" vertical="center"/>
    </xf>
    <xf numFmtId="0" fontId="8" fillId="0" borderId="0"/>
    <xf numFmtId="0" fontId="8" fillId="0" borderId="0"/>
    <xf numFmtId="4" fontId="50" fillId="64" borderId="0" applyNumberFormat="0" applyProtection="0">
      <alignment horizontal="left" vertical="center" indent="1"/>
    </xf>
    <xf numFmtId="4" fontId="50" fillId="64" borderId="0" applyNumberFormat="0" applyProtection="0">
      <alignment horizontal="left" vertical="center" indent="1"/>
    </xf>
    <xf numFmtId="4" fontId="50" fillId="64" borderId="0" applyNumberFormat="0" applyProtection="0">
      <alignment horizontal="left" vertical="center" indent="1"/>
    </xf>
    <xf numFmtId="0" fontId="8" fillId="0" borderId="0"/>
    <xf numFmtId="0" fontId="8" fillId="0" borderId="0"/>
    <xf numFmtId="4" fontId="50" fillId="8" borderId="0" applyNumberFormat="0" applyProtection="0">
      <alignment horizontal="left" vertical="center" indent="1"/>
    </xf>
    <xf numFmtId="4" fontId="50" fillId="8" borderId="0" applyNumberFormat="0" applyProtection="0">
      <alignment horizontal="left" vertical="center" indent="1"/>
    </xf>
    <xf numFmtId="4" fontId="50" fillId="8" borderId="0" applyNumberFormat="0" applyProtection="0">
      <alignment horizontal="left" vertical="center" indent="1"/>
    </xf>
    <xf numFmtId="0" fontId="8" fillId="0" borderId="0"/>
    <xf numFmtId="0" fontId="8" fillId="0" borderId="0"/>
    <xf numFmtId="0" fontId="33" fillId="0" borderId="19" applyNumberFormat="0" applyProtection="0">
      <alignment horizontal="left" vertical="center" wrapText="1" indent="1"/>
    </xf>
    <xf numFmtId="0" fontId="8" fillId="0" borderId="0"/>
    <xf numFmtId="0" fontId="8" fillId="18" borderId="18" applyNumberFormat="0" applyProtection="0">
      <alignment horizontal="left" vertical="center" indent="1"/>
    </xf>
    <xf numFmtId="0" fontId="8" fillId="0" borderId="0"/>
    <xf numFmtId="0" fontId="8" fillId="0" borderId="0"/>
    <xf numFmtId="0" fontId="8" fillId="18" borderId="18" applyNumberFormat="0" applyProtection="0">
      <alignment horizontal="left" vertical="top" indent="1"/>
    </xf>
    <xf numFmtId="0" fontId="8" fillId="18"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8" borderId="18" applyNumberFormat="0" applyProtection="0">
      <alignment horizontal="left" vertical="center" indent="1"/>
    </xf>
    <xf numFmtId="0" fontId="8" fillId="0" borderId="0"/>
    <xf numFmtId="0" fontId="8" fillId="0" borderId="0"/>
    <xf numFmtId="0" fontId="8" fillId="8" borderId="18" applyNumberFormat="0" applyProtection="0">
      <alignment horizontal="left" vertical="top" indent="1"/>
    </xf>
    <xf numFmtId="0" fontId="8" fillId="8"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16" borderId="18" applyNumberFormat="0" applyProtection="0">
      <alignment horizontal="left" vertical="center" indent="1"/>
    </xf>
    <xf numFmtId="0" fontId="8" fillId="0" borderId="0"/>
    <xf numFmtId="0" fontId="23" fillId="0" borderId="0" applyNumberFormat="0" applyProtection="0">
      <alignment horizontal="left" wrapText="1" indent="1" shrinkToFit="1"/>
    </xf>
    <xf numFmtId="0" fontId="8" fillId="0" borderId="0"/>
    <xf numFmtId="0" fontId="8" fillId="16" borderId="18" applyNumberFormat="0" applyProtection="0">
      <alignment horizontal="left" vertical="top" indent="1"/>
    </xf>
    <xf numFmtId="0" fontId="8" fillId="16" borderId="18" applyNumberFormat="0" applyProtection="0">
      <alignment horizontal="left" vertical="top" indent="1"/>
    </xf>
    <xf numFmtId="0" fontId="8" fillId="0" borderId="0"/>
    <xf numFmtId="0" fontId="8" fillId="0" borderId="0"/>
    <xf numFmtId="0" fontId="33" fillId="0" borderId="17" applyNumberFormat="0" applyProtection="0">
      <alignment horizontal="left" vertical="center" indent="1"/>
    </xf>
    <xf numFmtId="0" fontId="8" fillId="0" borderId="0"/>
    <xf numFmtId="0" fontId="8" fillId="64" borderId="18" applyNumberFormat="0" applyProtection="0">
      <alignment horizontal="left" vertical="center" indent="1"/>
    </xf>
    <xf numFmtId="0" fontId="8" fillId="0" borderId="0"/>
    <xf numFmtId="0" fontId="8" fillId="0" borderId="0"/>
    <xf numFmtId="0" fontId="8" fillId="64" borderId="18" applyNumberFormat="0" applyProtection="0">
      <alignment horizontal="left" vertical="top" indent="1"/>
    </xf>
    <xf numFmtId="0" fontId="8" fillId="64" borderId="18" applyNumberFormat="0" applyProtection="0">
      <alignment horizontal="left" vertical="top" indent="1"/>
    </xf>
    <xf numFmtId="0" fontId="8" fillId="0" borderId="0"/>
    <xf numFmtId="0" fontId="8" fillId="0" borderId="0"/>
    <xf numFmtId="0" fontId="8" fillId="14" borderId="17" applyNumberFormat="0">
      <protection locked="0"/>
    </xf>
    <xf numFmtId="0" fontId="8" fillId="14" borderId="17" applyNumberFormat="0">
      <protection locked="0"/>
    </xf>
    <xf numFmtId="0" fontId="8" fillId="0" borderId="0"/>
    <xf numFmtId="0" fontId="56" fillId="18" borderId="21" applyBorder="0"/>
    <xf numFmtId="0" fontId="8" fillId="0" borderId="0"/>
    <xf numFmtId="4" fontId="29" fillId="12" borderId="18" applyNumberFormat="0" applyProtection="0">
      <alignment vertical="center"/>
    </xf>
    <xf numFmtId="0" fontId="8" fillId="0" borderId="0"/>
    <xf numFmtId="0" fontId="8" fillId="0" borderId="0"/>
    <xf numFmtId="0" fontId="8" fillId="0" borderId="0"/>
    <xf numFmtId="4" fontId="51" fillId="12" borderId="18" applyNumberFormat="0" applyProtection="0">
      <alignment vertical="center"/>
    </xf>
    <xf numFmtId="0" fontId="8" fillId="0" borderId="0"/>
    <xf numFmtId="4" fontId="51" fillId="12" borderId="18" applyNumberFormat="0" applyProtection="0">
      <alignment vertical="center"/>
    </xf>
    <xf numFmtId="0" fontId="8" fillId="0" borderId="0"/>
    <xf numFmtId="0" fontId="8" fillId="0" borderId="0"/>
    <xf numFmtId="4" fontId="29" fillId="12" borderId="18" applyNumberFormat="0" applyProtection="0">
      <alignment horizontal="left" vertical="center" indent="1"/>
    </xf>
    <xf numFmtId="0" fontId="8" fillId="0" borderId="0"/>
    <xf numFmtId="0" fontId="8" fillId="0" borderId="0"/>
    <xf numFmtId="0" fontId="8" fillId="0" borderId="0"/>
    <xf numFmtId="0" fontId="29" fillId="12" borderId="18" applyNumberFormat="0" applyProtection="0">
      <alignment horizontal="left" vertical="top" indent="1"/>
    </xf>
    <xf numFmtId="0" fontId="8" fillId="0" borderId="0"/>
    <xf numFmtId="0" fontId="8" fillId="0" borderId="0"/>
    <xf numFmtId="4" fontId="29" fillId="64" borderId="18" applyNumberFormat="0" applyProtection="0">
      <alignment horizontal="right" vertical="center"/>
    </xf>
    <xf numFmtId="4" fontId="48" fillId="60" borderId="17" applyNumberFormat="0" applyProtection="0">
      <alignment horizontal="right" vertical="center"/>
    </xf>
    <xf numFmtId="4" fontId="29" fillId="64" borderId="18" applyNumberFormat="0" applyProtection="0">
      <alignment horizontal="right" vertical="center"/>
    </xf>
    <xf numFmtId="4" fontId="6" fillId="0" borderId="0" applyNumberFormat="0" applyProtection="0">
      <alignment horizontal="right"/>
    </xf>
    <xf numFmtId="0" fontId="8" fillId="0" borderId="0"/>
    <xf numFmtId="4" fontId="51" fillId="64" borderId="18" applyNumberFormat="0" applyProtection="0">
      <alignment horizontal="right" vertical="center"/>
    </xf>
    <xf numFmtId="0" fontId="8" fillId="0" borderId="0"/>
    <xf numFmtId="4" fontId="51" fillId="64" borderId="18" applyNumberFormat="0" applyProtection="0">
      <alignment horizontal="right" vertical="center"/>
    </xf>
    <xf numFmtId="0" fontId="8" fillId="0" borderId="0"/>
    <xf numFmtId="4" fontId="29" fillId="8" borderId="18" applyNumberFormat="0" applyProtection="0">
      <alignment horizontal="left" vertical="center" indent="1"/>
    </xf>
    <xf numFmtId="4" fontId="48" fillId="60" borderId="17" applyNumberFormat="0" applyProtection="0">
      <alignment horizontal="left" vertical="center" indent="1"/>
    </xf>
    <xf numFmtId="4" fontId="29" fillId="8" borderId="18" applyNumberFormat="0" applyProtection="0">
      <alignment horizontal="left" vertical="center" indent="1"/>
    </xf>
    <xf numFmtId="0" fontId="8" fillId="0" borderId="0"/>
    <xf numFmtId="0" fontId="29" fillId="8" borderId="18" applyNumberFormat="0" applyProtection="0">
      <alignment horizontal="left" vertical="top" indent="1"/>
    </xf>
    <xf numFmtId="0" fontId="50" fillId="61" borderId="18" applyNumberFormat="0" applyProtection="0">
      <alignment horizontal="left" vertical="top"/>
    </xf>
    <xf numFmtId="0" fontId="50" fillId="61" borderId="18" applyNumberFormat="0" applyProtection="0">
      <alignment horizontal="left" vertical="top"/>
    </xf>
    <xf numFmtId="0" fontId="8" fillId="0" borderId="0"/>
    <xf numFmtId="4" fontId="52" fillId="65" borderId="0" applyNumberFormat="0" applyProtection="0">
      <alignment horizontal="left" vertical="center" indent="1"/>
    </xf>
    <xf numFmtId="4" fontId="52" fillId="65" borderId="0" applyNumberFormat="0" applyProtection="0">
      <alignment horizontal="left" vertical="center" indent="1"/>
    </xf>
    <xf numFmtId="4" fontId="52" fillId="65" borderId="0" applyNumberFormat="0" applyProtection="0">
      <alignment horizontal="left" vertical="center" indent="1"/>
    </xf>
    <xf numFmtId="4" fontId="52" fillId="65" borderId="0" applyNumberFormat="0" applyProtection="0">
      <alignment horizontal="left" vertical="center"/>
    </xf>
    <xf numFmtId="0" fontId="57" fillId="66" borderId="17"/>
    <xf numFmtId="0" fontId="8" fillId="0" borderId="0"/>
    <xf numFmtId="4" fontId="53" fillId="0" borderId="17" applyNumberFormat="0" applyProtection="0">
      <alignment horizontal="right" vertical="center"/>
    </xf>
    <xf numFmtId="0" fontId="8" fillId="0" borderId="0"/>
    <xf numFmtId="4" fontId="65" fillId="64" borderId="18" applyNumberFormat="0" applyProtection="0">
      <alignment horizontal="right" vertical="center"/>
    </xf>
    <xf numFmtId="0" fontId="8" fillId="0" borderId="0"/>
    <xf numFmtId="0" fontId="30" fillId="0" borderId="0" applyNumberFormat="0" applyFill="0" applyBorder="0" applyAlignment="0" applyProtection="0"/>
    <xf numFmtId="0" fontId="31" fillId="0" borderId="0"/>
    <xf numFmtId="0" fontId="61" fillId="0" borderId="0" applyNumberFormat="0" applyFill="0" applyBorder="0" applyAlignment="0" applyProtection="0"/>
    <xf numFmtId="0" fontId="30" fillId="0" borderId="0" applyNumberFormat="0" applyFill="0" applyBorder="0" applyAlignment="0" applyProtection="0"/>
    <xf numFmtId="0" fontId="61" fillId="0" borderId="0" applyNumberFormat="0" applyFill="0" applyBorder="0" applyAlignment="0" applyProtection="0"/>
    <xf numFmtId="0" fontId="27" fillId="0" borderId="22" applyNumberFormat="0" applyFill="0" applyAlignment="0" applyProtection="0"/>
    <xf numFmtId="169" fontId="32" fillId="67" borderId="0" applyBorder="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4" fillId="0" borderId="0"/>
    <xf numFmtId="0" fontId="5" fillId="0" borderId="0"/>
    <xf numFmtId="0" fontId="75" fillId="0" borderId="0" applyNumberFormat="0" applyBorder="0" applyAlignment="0"/>
    <xf numFmtId="0" fontId="58" fillId="0" borderId="0"/>
    <xf numFmtId="43" fontId="5" fillId="0" borderId="0" applyFont="0" applyFill="0" applyBorder="0" applyAlignment="0" applyProtection="0"/>
    <xf numFmtId="0" fontId="24" fillId="0" borderId="0"/>
    <xf numFmtId="43" fontId="5" fillId="0" borderId="0" applyFont="0" applyFill="0" applyBorder="0" applyAlignment="0" applyProtection="0"/>
    <xf numFmtId="43" fontId="24" fillId="0" borderId="0" applyFont="0" applyFill="0" applyBorder="0" applyAlignment="0" applyProtection="0"/>
    <xf numFmtId="0" fontId="8" fillId="0" borderId="0"/>
    <xf numFmtId="0" fontId="8" fillId="0" borderId="0"/>
    <xf numFmtId="0" fontId="8" fillId="0" borderId="0"/>
    <xf numFmtId="9" fontId="5" fillId="0" borderId="0" applyFont="0" applyFill="0" applyBorder="0" applyAlignment="0" applyProtection="0"/>
  </cellStyleXfs>
  <cellXfs count="422">
    <xf numFmtId="0" fontId="0" fillId="0" borderId="0" xfId="0"/>
    <xf numFmtId="165" fontId="13" fillId="0" borderId="1" xfId="1" applyNumberFormat="1" applyFont="1" applyBorder="1"/>
    <xf numFmtId="0" fontId="9" fillId="0" borderId="0" xfId="0" applyFont="1"/>
    <xf numFmtId="0" fontId="15" fillId="2" borderId="1" xfId="0" applyFont="1" applyFill="1" applyBorder="1"/>
    <xf numFmtId="3" fontId="15" fillId="2" borderId="1" xfId="0" applyNumberFormat="1" applyFont="1" applyFill="1" applyBorder="1"/>
    <xf numFmtId="3" fontId="16" fillId="3" borderId="1" xfId="0" applyNumberFormat="1" applyFont="1" applyFill="1" applyBorder="1"/>
    <xf numFmtId="2" fontId="16" fillId="0" borderId="1" xfId="0" applyNumberFormat="1" applyFont="1" applyBorder="1" applyAlignment="1">
      <alignment horizontal="left" vertical="center" wrapText="1"/>
    </xf>
    <xf numFmtId="3" fontId="16" fillId="0" borderId="1" xfId="0" applyNumberFormat="1" applyFont="1" applyBorder="1"/>
    <xf numFmtId="3" fontId="11" fillId="3" borderId="1" xfId="0" applyNumberFormat="1" applyFont="1" applyFill="1" applyBorder="1"/>
    <xf numFmtId="2" fontId="11" fillId="0" borderId="1" xfId="0" applyNumberFormat="1" applyFont="1" applyBorder="1" applyAlignment="1">
      <alignment horizontal="left" vertical="center" wrapText="1"/>
    </xf>
    <xf numFmtId="0" fontId="15" fillId="2" borderId="1" xfId="0" applyFont="1" applyFill="1" applyBorder="1" applyAlignment="1">
      <alignment horizontal="left" vertical="center"/>
    </xf>
    <xf numFmtId="0" fontId="15" fillId="3" borderId="1" xfId="0" applyFont="1" applyFill="1" applyBorder="1" applyAlignment="1">
      <alignment horizontal="left" vertical="center"/>
    </xf>
    <xf numFmtId="0" fontId="9" fillId="0" borderId="1" xfId="0" applyFont="1" applyBorder="1" applyAlignment="1">
      <alignment horizontal="left" vertical="center" wrapText="1"/>
    </xf>
    <xf numFmtId="165" fontId="13" fillId="0" borderId="2" xfId="1" applyNumberFormat="1" applyFont="1" applyBorder="1"/>
    <xf numFmtId="164" fontId="15" fillId="2" borderId="1" xfId="0" applyNumberFormat="1" applyFont="1" applyFill="1" applyBorder="1" applyAlignment="1">
      <alignment horizontal="left" vertical="center" wrapText="1"/>
    </xf>
    <xf numFmtId="3" fontId="15" fillId="2" borderId="2" xfId="0" applyNumberFormat="1" applyFont="1" applyFill="1" applyBorder="1"/>
    <xf numFmtId="164" fontId="16" fillId="3" borderId="1" xfId="0" applyNumberFormat="1" applyFont="1" applyFill="1" applyBorder="1" applyAlignment="1">
      <alignment horizontal="left" vertical="center" wrapText="1"/>
    </xf>
    <xf numFmtId="3" fontId="16" fillId="3" borderId="1" xfId="0" applyNumberFormat="1" applyFont="1" applyFill="1" applyBorder="1" applyAlignment="1">
      <alignment wrapText="1"/>
    </xf>
    <xf numFmtId="3" fontId="16" fillId="3" borderId="2" xfId="0" applyNumberFormat="1" applyFont="1" applyFill="1" applyBorder="1"/>
    <xf numFmtId="164" fontId="16" fillId="0" borderId="1" xfId="0" applyNumberFormat="1" applyFont="1" applyBorder="1" applyAlignment="1">
      <alignment horizontal="left" vertical="center" wrapText="1"/>
    </xf>
    <xf numFmtId="3" fontId="16" fillId="0" borderId="1" xfId="0" applyNumberFormat="1" applyFont="1" applyBorder="1" applyAlignment="1">
      <alignment wrapText="1"/>
    </xf>
    <xf numFmtId="3" fontId="16" fillId="0" borderId="2" xfId="0" applyNumberFormat="1" applyFont="1" applyBorder="1"/>
    <xf numFmtId="164" fontId="15" fillId="2" borderId="1" xfId="0" applyNumberFormat="1" applyFont="1" applyFill="1" applyBorder="1" applyAlignment="1">
      <alignment horizontal="left" vertical="center"/>
    </xf>
    <xf numFmtId="164" fontId="11" fillId="0" borderId="1" xfId="0" applyNumberFormat="1" applyFont="1" applyBorder="1" applyAlignment="1">
      <alignment horizontal="left" vertical="center" wrapText="1"/>
    </xf>
    <xf numFmtId="164" fontId="15" fillId="3" borderId="1" xfId="0" applyNumberFormat="1" applyFont="1" applyFill="1" applyBorder="1" applyAlignment="1">
      <alignment horizontal="left" vertical="center"/>
    </xf>
    <xf numFmtId="3" fontId="15" fillId="3" borderId="1" xfId="0" applyNumberFormat="1" applyFont="1" applyFill="1" applyBorder="1"/>
    <xf numFmtId="0" fontId="9" fillId="0" borderId="0" xfId="0" applyFont="1" applyAlignment="1">
      <alignment horizontal="left" vertical="center" wrapText="1"/>
    </xf>
    <xf numFmtId="2" fontId="14" fillId="0" borderId="0" xfId="0" applyNumberFormat="1" applyFont="1"/>
    <xf numFmtId="2" fontId="15" fillId="0" borderId="0" xfId="0" applyNumberFormat="1" applyFont="1"/>
    <xf numFmtId="2" fontId="14" fillId="5" borderId="0" xfId="0" applyNumberFormat="1" applyFont="1" applyFill="1"/>
    <xf numFmtId="0" fontId="9" fillId="0" borderId="0" xfId="0" quotePrefix="1" applyFont="1" applyAlignment="1">
      <alignment vertical="top"/>
    </xf>
    <xf numFmtId="0" fontId="21" fillId="0" borderId="0" xfId="0" applyFont="1"/>
    <xf numFmtId="0" fontId="19" fillId="4" borderId="0" xfId="0" applyFont="1" applyFill="1"/>
    <xf numFmtId="0" fontId="9" fillId="5" borderId="0" xfId="0" applyFont="1" applyFill="1" applyAlignment="1">
      <alignment wrapText="1"/>
    </xf>
    <xf numFmtId="0" fontId="10" fillId="5" borderId="0" xfId="0" applyFont="1" applyFill="1"/>
    <xf numFmtId="0" fontId="11" fillId="5" borderId="0" xfId="3" applyFont="1" applyFill="1" applyAlignment="1">
      <alignment wrapText="1"/>
    </xf>
    <xf numFmtId="0" fontId="11" fillId="5" borderId="0" xfId="3" applyFont="1" applyFill="1"/>
    <xf numFmtId="0" fontId="12" fillId="5" borderId="1" xfId="0" applyFont="1" applyFill="1" applyBorder="1" applyAlignment="1">
      <alignment wrapText="1"/>
    </xf>
    <xf numFmtId="165" fontId="13" fillId="5" borderId="1" xfId="1" applyNumberFormat="1" applyFont="1" applyFill="1" applyBorder="1"/>
    <xf numFmtId="0" fontId="10" fillId="5" borderId="0" xfId="0" applyFont="1" applyFill="1" applyAlignment="1">
      <alignment wrapText="1"/>
    </xf>
    <xf numFmtId="0" fontId="17" fillId="5" borderId="0" xfId="2" applyFont="1" applyFill="1" applyBorder="1" applyAlignment="1">
      <alignment wrapText="1"/>
    </xf>
    <xf numFmtId="0" fontId="11" fillId="5" borderId="0" xfId="0" applyFont="1" applyFill="1"/>
    <xf numFmtId="0" fontId="15" fillId="5" borderId="0" xfId="0" applyFont="1" applyFill="1" applyAlignment="1">
      <alignment wrapText="1"/>
    </xf>
    <xf numFmtId="0" fontId="17" fillId="5" borderId="0" xfId="2" applyFont="1" applyFill="1" applyBorder="1" applyAlignment="1"/>
    <xf numFmtId="0" fontId="18" fillId="5" borderId="0" xfId="0" applyFont="1" applyFill="1"/>
    <xf numFmtId="0" fontId="9" fillId="5" borderId="0" xfId="0" applyFont="1" applyFill="1"/>
    <xf numFmtId="2" fontId="9" fillId="5" borderId="0" xfId="0" applyNumberFormat="1" applyFont="1" applyFill="1"/>
    <xf numFmtId="2" fontId="15" fillId="5" borderId="0" xfId="0" applyNumberFormat="1" applyFont="1" applyFill="1"/>
    <xf numFmtId="3" fontId="16" fillId="5" borderId="1" xfId="0" applyNumberFormat="1" applyFont="1" applyFill="1" applyBorder="1"/>
    <xf numFmtId="2" fontId="19" fillId="5" borderId="0" xfId="0" applyNumberFormat="1" applyFont="1" applyFill="1"/>
    <xf numFmtId="2" fontId="20" fillId="5" borderId="0" xfId="0" applyNumberFormat="1" applyFont="1" applyFill="1"/>
    <xf numFmtId="165" fontId="13" fillId="5" borderId="2" xfId="1" applyNumberFormat="1" applyFont="1" applyFill="1" applyBorder="1"/>
    <xf numFmtId="14" fontId="13" fillId="5" borderId="8" xfId="1" applyNumberFormat="1" applyFont="1" applyFill="1" applyBorder="1"/>
    <xf numFmtId="3" fontId="16" fillId="0" borderId="8" xfId="0" applyNumberFormat="1" applyFont="1" applyBorder="1"/>
    <xf numFmtId="3" fontId="22" fillId="2" borderId="1" xfId="0" applyNumberFormat="1" applyFont="1" applyFill="1" applyBorder="1"/>
    <xf numFmtId="3" fontId="15" fillId="6" borderId="8" xfId="0" applyNumberFormat="1" applyFont="1" applyFill="1" applyBorder="1"/>
    <xf numFmtId="3" fontId="16" fillId="6" borderId="8" xfId="0" applyNumberFormat="1" applyFont="1" applyFill="1" applyBorder="1"/>
    <xf numFmtId="3" fontId="16" fillId="0" borderId="6" xfId="0" applyNumberFormat="1" applyFont="1" applyBorder="1"/>
    <xf numFmtId="164" fontId="11" fillId="5" borderId="1" xfId="0" applyNumberFormat="1" applyFont="1" applyFill="1" applyBorder="1" applyAlignment="1">
      <alignment horizontal="left" vertical="center" wrapText="1"/>
    </xf>
    <xf numFmtId="3" fontId="16" fillId="5" borderId="1" xfId="0" applyNumberFormat="1" applyFont="1" applyFill="1" applyBorder="1" applyAlignment="1">
      <alignment wrapText="1"/>
    </xf>
    <xf numFmtId="3" fontId="16" fillId="5" borderId="2" xfId="0" applyNumberFormat="1" applyFont="1" applyFill="1" applyBorder="1"/>
    <xf numFmtId="0" fontId="70" fillId="5" borderId="0" xfId="2" applyFont="1" applyFill="1" applyBorder="1" applyAlignment="1"/>
    <xf numFmtId="2" fontId="14" fillId="68" borderId="0" xfId="0" applyNumberFormat="1" applyFont="1" applyFill="1"/>
    <xf numFmtId="0" fontId="10" fillId="69" borderId="0" xfId="0" applyFont="1" applyFill="1" applyAlignment="1">
      <alignment wrapText="1"/>
    </xf>
    <xf numFmtId="0" fontId="10" fillId="69" borderId="0" xfId="0" applyFont="1" applyFill="1"/>
    <xf numFmtId="0" fontId="9" fillId="69" borderId="0" xfId="0" applyFont="1" applyFill="1"/>
    <xf numFmtId="2" fontId="19" fillId="69" borderId="0" xfId="0" applyNumberFormat="1" applyFont="1" applyFill="1"/>
    <xf numFmtId="2" fontId="20" fillId="69" borderId="0" xfId="0" applyNumberFormat="1" applyFont="1" applyFill="1"/>
    <xf numFmtId="2" fontId="9" fillId="69" borderId="0" xfId="0" applyNumberFormat="1" applyFont="1" applyFill="1"/>
    <xf numFmtId="3" fontId="14" fillId="5" borderId="0" xfId="0" applyNumberFormat="1" applyFont="1" applyFill="1"/>
    <xf numFmtId="2" fontId="14" fillId="69" borderId="0" xfId="0" applyNumberFormat="1" applyFont="1" applyFill="1"/>
    <xf numFmtId="1" fontId="14" fillId="69" borderId="0" xfId="0" applyNumberFormat="1" applyFont="1" applyFill="1"/>
    <xf numFmtId="2" fontId="15" fillId="69" borderId="0" xfId="0" applyNumberFormat="1" applyFont="1" applyFill="1"/>
    <xf numFmtId="165" fontId="13" fillId="5" borderId="6" xfId="1" applyNumberFormat="1" applyFont="1" applyFill="1" applyBorder="1"/>
    <xf numFmtId="3" fontId="15" fillId="2" borderId="6" xfId="0" applyNumberFormat="1" applyFont="1" applyFill="1" applyBorder="1"/>
    <xf numFmtId="3" fontId="16" fillId="3" borderId="6" xfId="0" applyNumberFormat="1" applyFont="1" applyFill="1" applyBorder="1"/>
    <xf numFmtId="3" fontId="22" fillId="2" borderId="6" xfId="0" applyNumberFormat="1" applyFont="1" applyFill="1" applyBorder="1"/>
    <xf numFmtId="2" fontId="74" fillId="68" borderId="0" xfId="0" applyNumberFormat="1" applyFont="1" applyFill="1" applyProtection="1">
      <protection locked="0"/>
    </xf>
    <xf numFmtId="1" fontId="14" fillId="5" borderId="1" xfId="0" applyNumberFormat="1" applyFont="1" applyFill="1" applyBorder="1"/>
    <xf numFmtId="14" fontId="13" fillId="0" borderId="8" xfId="1" applyNumberFormat="1" applyFont="1" applyBorder="1"/>
    <xf numFmtId="0" fontId="0" fillId="4" borderId="0" xfId="0" applyFill="1"/>
    <xf numFmtId="3" fontId="9" fillId="5" borderId="0" xfId="0" applyNumberFormat="1" applyFont="1" applyFill="1"/>
    <xf numFmtId="165" fontId="13" fillId="5" borderId="24" xfId="1" applyNumberFormat="1" applyFont="1" applyFill="1" applyBorder="1"/>
    <xf numFmtId="3" fontId="16" fillId="0" borderId="24" xfId="0" applyNumberFormat="1" applyFont="1" applyBorder="1"/>
    <xf numFmtId="3" fontId="77" fillId="0" borderId="24" xfId="0" applyNumberFormat="1" applyFont="1" applyBorder="1"/>
    <xf numFmtId="3" fontId="79" fillId="2" borderId="6" xfId="1" applyNumberFormat="1" applyFont="1" applyFill="1" applyBorder="1"/>
    <xf numFmtId="3" fontId="16" fillId="0" borderId="0" xfId="0" applyNumberFormat="1" applyFont="1"/>
    <xf numFmtId="167" fontId="16" fillId="0" borderId="8" xfId="0" applyNumberFormat="1" applyFont="1" applyBorder="1"/>
    <xf numFmtId="3" fontId="16" fillId="0" borderId="27" xfId="0" applyNumberFormat="1" applyFont="1" applyBorder="1"/>
    <xf numFmtId="2" fontId="74" fillId="5" borderId="0" xfId="0" applyNumberFormat="1" applyFont="1" applyFill="1"/>
    <xf numFmtId="0" fontId="74" fillId="4" borderId="1" xfId="0" applyFont="1" applyFill="1" applyBorder="1" applyAlignment="1">
      <alignment horizontal="center" vertical="center" wrapText="1"/>
    </xf>
    <xf numFmtId="2" fontId="74" fillId="4" borderId="1" xfId="0" applyNumberFormat="1" applyFont="1" applyFill="1" applyBorder="1" applyAlignment="1">
      <alignment horizontal="center" vertical="center"/>
    </xf>
    <xf numFmtId="0" fontId="74" fillId="4" borderId="3" xfId="0" applyFont="1" applyFill="1" applyBorder="1" applyAlignment="1">
      <alignment horizontal="center"/>
    </xf>
    <xf numFmtId="0" fontId="74" fillId="4" borderId="1" xfId="0" applyFont="1" applyFill="1" applyBorder="1" applyAlignment="1">
      <alignment horizontal="center"/>
    </xf>
    <xf numFmtId="0" fontId="74" fillId="4" borderId="4" xfId="0" applyFont="1" applyFill="1" applyBorder="1"/>
    <xf numFmtId="2" fontId="74" fillId="4" borderId="5" xfId="0" applyNumberFormat="1" applyFont="1" applyFill="1" applyBorder="1"/>
    <xf numFmtId="0" fontId="74" fillId="4" borderId="5" xfId="0" applyFont="1" applyFill="1" applyBorder="1"/>
    <xf numFmtId="168" fontId="74" fillId="0" borderId="1" xfId="0" applyNumberFormat="1" applyFont="1" applyBorder="1"/>
    <xf numFmtId="167" fontId="74" fillId="0" borderId="1" xfId="0" applyNumberFormat="1" applyFont="1" applyBorder="1"/>
    <xf numFmtId="3" fontId="74" fillId="0" borderId="1" xfId="0" applyNumberFormat="1" applyFont="1" applyBorder="1"/>
    <xf numFmtId="3" fontId="74" fillId="5" borderId="1" xfId="0" applyNumberFormat="1" applyFont="1" applyFill="1" applyBorder="1"/>
    <xf numFmtId="2" fontId="74" fillId="0" borderId="0" xfId="0" applyNumberFormat="1" applyFont="1"/>
    <xf numFmtId="2" fontId="74" fillId="4" borderId="6" xfId="0" applyNumberFormat="1" applyFont="1" applyFill="1" applyBorder="1"/>
    <xf numFmtId="2" fontId="74" fillId="4" borderId="7" xfId="0" applyNumberFormat="1" applyFont="1" applyFill="1" applyBorder="1" applyAlignment="1">
      <alignment vertical="center"/>
    </xf>
    <xf numFmtId="2" fontId="74" fillId="4" borderId="2" xfId="0" applyNumberFormat="1" applyFont="1" applyFill="1" applyBorder="1" applyAlignment="1">
      <alignment vertical="center"/>
    </xf>
    <xf numFmtId="2" fontId="74" fillId="4" borderId="6" xfId="0" applyNumberFormat="1" applyFont="1" applyFill="1" applyBorder="1" applyAlignment="1">
      <alignment vertical="center"/>
    </xf>
    <xf numFmtId="0" fontId="74" fillId="4" borderId="1" xfId="0" quotePrefix="1" applyFont="1" applyFill="1" applyBorder="1" applyAlignment="1">
      <alignment horizontal="center"/>
    </xf>
    <xf numFmtId="0" fontId="22" fillId="4" borderId="1" xfId="0" applyFont="1" applyFill="1" applyBorder="1" applyAlignment="1">
      <alignment horizontal="center" vertical="center" wrapText="1"/>
    </xf>
    <xf numFmtId="2" fontId="74" fillId="0" borderId="1" xfId="0" applyNumberFormat="1" applyFont="1" applyBorder="1"/>
    <xf numFmtId="2" fontId="22" fillId="5" borderId="0" xfId="0" applyNumberFormat="1" applyFont="1" applyFill="1"/>
    <xf numFmtId="0" fontId="80" fillId="0" borderId="0" xfId="0" applyFont="1"/>
    <xf numFmtId="3" fontId="16" fillId="0" borderId="28" xfId="0" applyNumberFormat="1" applyFont="1" applyBorder="1"/>
    <xf numFmtId="0" fontId="81" fillId="5" borderId="0" xfId="0" applyFont="1" applyFill="1" applyAlignment="1">
      <alignment wrapText="1"/>
    </xf>
    <xf numFmtId="0" fontId="81" fillId="5" borderId="0" xfId="0" applyFont="1" applyFill="1"/>
    <xf numFmtId="3" fontId="77" fillId="3" borderId="1" xfId="0" applyNumberFormat="1" applyFont="1" applyFill="1" applyBorder="1"/>
    <xf numFmtId="3" fontId="77" fillId="0" borderId="1" xfId="0" applyNumberFormat="1" applyFont="1" applyBorder="1"/>
    <xf numFmtId="0" fontId="82" fillId="5" borderId="0" xfId="0" applyFont="1" applyFill="1"/>
    <xf numFmtId="3" fontId="15" fillId="2" borderId="24" xfId="0" applyNumberFormat="1" applyFont="1" applyFill="1" applyBorder="1"/>
    <xf numFmtId="3" fontId="16" fillId="3" borderId="24" xfId="0" applyNumberFormat="1" applyFont="1" applyFill="1" applyBorder="1"/>
    <xf numFmtId="3" fontId="22" fillId="2" borderId="24" xfId="0" applyNumberFormat="1" applyFont="1" applyFill="1" applyBorder="1"/>
    <xf numFmtId="14" fontId="13" fillId="0" borderId="29" xfId="1" applyNumberFormat="1" applyFont="1" applyBorder="1"/>
    <xf numFmtId="3" fontId="16" fillId="0" borderId="25" xfId="0" applyNumberFormat="1" applyFont="1" applyBorder="1"/>
    <xf numFmtId="166" fontId="74" fillId="5" borderId="0" xfId="0" applyNumberFormat="1" applyFont="1" applyFill="1"/>
    <xf numFmtId="43" fontId="74" fillId="5" borderId="0" xfId="467" applyFont="1" applyFill="1"/>
    <xf numFmtId="173" fontId="74" fillId="5" borderId="0" xfId="467" applyNumberFormat="1" applyFont="1" applyFill="1"/>
    <xf numFmtId="3" fontId="77" fillId="3" borderId="6" xfId="0" applyNumberFormat="1" applyFont="1" applyFill="1" applyBorder="1"/>
    <xf numFmtId="1" fontId="83" fillId="5" borderId="0" xfId="0" applyNumberFormat="1" applyFont="1" applyFill="1" applyAlignment="1">
      <alignment horizontal="right"/>
    </xf>
    <xf numFmtId="0" fontId="74" fillId="4" borderId="5" xfId="0" applyFont="1" applyFill="1" applyBorder="1" applyAlignment="1">
      <alignment horizontal="center"/>
    </xf>
    <xf numFmtId="1" fontId="74" fillId="5" borderId="0" xfId="0" applyNumberFormat="1" applyFont="1" applyFill="1"/>
    <xf numFmtId="3" fontId="77" fillId="3" borderId="24" xfId="0" applyNumberFormat="1" applyFont="1" applyFill="1" applyBorder="1"/>
    <xf numFmtId="165" fontId="13" fillId="5" borderId="25" xfId="1" applyNumberFormat="1" applyFont="1" applyFill="1" applyBorder="1"/>
    <xf numFmtId="3" fontId="15" fillId="2" borderId="26" xfId="0" applyNumberFormat="1" applyFont="1" applyFill="1" applyBorder="1"/>
    <xf numFmtId="3" fontId="77" fillId="3" borderId="25" xfId="0" applyNumberFormat="1" applyFont="1" applyFill="1" applyBorder="1"/>
    <xf numFmtId="3" fontId="22" fillId="2" borderId="26" xfId="0" applyNumberFormat="1" applyFont="1" applyFill="1" applyBorder="1"/>
    <xf numFmtId="3" fontId="16" fillId="0" borderId="31" xfId="0" applyNumberFormat="1" applyFont="1" applyBorder="1"/>
    <xf numFmtId="3" fontId="15" fillId="6" borderId="31" xfId="0" applyNumberFormat="1" applyFont="1" applyFill="1" applyBorder="1"/>
    <xf numFmtId="3" fontId="77" fillId="6" borderId="31" xfId="0" applyNumberFormat="1" applyFont="1" applyFill="1" applyBorder="1"/>
    <xf numFmtId="3" fontId="22" fillId="6" borderId="31" xfId="0" applyNumberFormat="1" applyFont="1" applyFill="1" applyBorder="1"/>
    <xf numFmtId="2" fontId="13" fillId="0" borderId="1" xfId="0" applyNumberFormat="1" applyFont="1" applyBorder="1" applyAlignment="1">
      <alignment horizontal="left" vertical="center" wrapText="1"/>
    </xf>
    <xf numFmtId="3" fontId="77" fillId="0" borderId="8" xfId="0" applyNumberFormat="1" applyFont="1" applyBorder="1"/>
    <xf numFmtId="3" fontId="77" fillId="0" borderId="2" xfId="0" applyNumberFormat="1" applyFont="1" applyBorder="1"/>
    <xf numFmtId="3" fontId="77" fillId="0" borderId="6" xfId="0" applyNumberFormat="1" applyFont="1" applyBorder="1"/>
    <xf numFmtId="3" fontId="77" fillId="0" borderId="0" xfId="0" applyNumberFormat="1" applyFont="1"/>
    <xf numFmtId="3" fontId="77" fillId="0" borderId="25" xfId="0" applyNumberFormat="1" applyFont="1" applyBorder="1"/>
    <xf numFmtId="3" fontId="77" fillId="0" borderId="31" xfId="0" applyNumberFormat="1" applyFont="1" applyBorder="1"/>
    <xf numFmtId="174" fontId="88" fillId="0" borderId="0" xfId="0" applyNumberFormat="1" applyFont="1" applyAlignment="1">
      <alignment horizontal="center"/>
    </xf>
    <xf numFmtId="3" fontId="0" fillId="0" borderId="0" xfId="0" applyNumberFormat="1"/>
    <xf numFmtId="166" fontId="0" fillId="0" borderId="0" xfId="0" applyNumberFormat="1"/>
    <xf numFmtId="174" fontId="88" fillId="4" borderId="0" xfId="0" applyNumberFormat="1" applyFont="1" applyFill="1" applyAlignment="1">
      <alignment horizontal="center"/>
    </xf>
    <xf numFmtId="0" fontId="0" fillId="5" borderId="0" xfId="0" applyFill="1"/>
    <xf numFmtId="0" fontId="0" fillId="5" borderId="32" xfId="0" applyFill="1" applyBorder="1"/>
    <xf numFmtId="0" fontId="78" fillId="5" borderId="0" xfId="0" applyFont="1" applyFill="1"/>
    <xf numFmtId="0" fontId="78" fillId="5" borderId="32" xfId="0" applyFont="1" applyFill="1" applyBorder="1"/>
    <xf numFmtId="0" fontId="80" fillId="5" borderId="0" xfId="0" applyFont="1" applyFill="1"/>
    <xf numFmtId="1" fontId="0" fillId="5" borderId="0" xfId="0" applyNumberFormat="1" applyFill="1"/>
    <xf numFmtId="0" fontId="89" fillId="5" borderId="32" xfId="0" applyFont="1" applyFill="1" applyBorder="1"/>
    <xf numFmtId="0" fontId="84" fillId="71" borderId="32" xfId="0" applyFont="1" applyFill="1" applyBorder="1"/>
    <xf numFmtId="3" fontId="0" fillId="5" borderId="32" xfId="0" applyNumberFormat="1" applyFill="1" applyBorder="1"/>
    <xf numFmtId="166" fontId="0" fillId="5" borderId="32" xfId="0" applyNumberFormat="1" applyFill="1" applyBorder="1"/>
    <xf numFmtId="3" fontId="0" fillId="5" borderId="0" xfId="0" applyNumberFormat="1" applyFill="1"/>
    <xf numFmtId="166" fontId="0" fillId="5" borderId="0" xfId="0" applyNumberFormat="1" applyFill="1"/>
    <xf numFmtId="0" fontId="0" fillId="5" borderId="34" xfId="0" applyFill="1" applyBorder="1"/>
    <xf numFmtId="0" fontId="0" fillId="5" borderId="33" xfId="0" applyFill="1" applyBorder="1"/>
    <xf numFmtId="3" fontId="0" fillId="5" borderId="33" xfId="0" applyNumberFormat="1" applyFill="1" applyBorder="1"/>
    <xf numFmtId="166" fontId="0" fillId="5" borderId="33" xfId="0" applyNumberFormat="1" applyFill="1" applyBorder="1"/>
    <xf numFmtId="0" fontId="84" fillId="4" borderId="32" xfId="0" applyFont="1" applyFill="1" applyBorder="1"/>
    <xf numFmtId="0" fontId="84" fillId="4" borderId="34" xfId="0" applyFont="1" applyFill="1" applyBorder="1"/>
    <xf numFmtId="165" fontId="84" fillId="5" borderId="32" xfId="0" applyNumberFormat="1" applyFont="1" applyFill="1" applyBorder="1" applyAlignment="1">
      <alignment horizontal="right"/>
    </xf>
    <xf numFmtId="3" fontId="84" fillId="71" borderId="32" xfId="0" applyNumberFormat="1" applyFont="1" applyFill="1" applyBorder="1"/>
    <xf numFmtId="3" fontId="78" fillId="5" borderId="32" xfId="0" applyNumberFormat="1" applyFont="1" applyFill="1" applyBorder="1"/>
    <xf numFmtId="3" fontId="84" fillId="4" borderId="32" xfId="0" applyNumberFormat="1" applyFont="1" applyFill="1" applyBorder="1"/>
    <xf numFmtId="166" fontId="84" fillId="4" borderId="32" xfId="0" applyNumberFormat="1" applyFont="1" applyFill="1" applyBorder="1"/>
    <xf numFmtId="0" fontId="0" fillId="5" borderId="0" xfId="0" applyFill="1" applyAlignment="1">
      <alignment wrapText="1"/>
    </xf>
    <xf numFmtId="3" fontId="16" fillId="0" borderId="43" xfId="0" applyNumberFormat="1" applyFont="1" applyBorder="1"/>
    <xf numFmtId="9" fontId="0" fillId="5" borderId="0" xfId="474" applyFont="1" applyFill="1"/>
    <xf numFmtId="0" fontId="85" fillId="72" borderId="0" xfId="0" applyFont="1" applyFill="1"/>
    <xf numFmtId="0" fontId="84" fillId="72" borderId="0" xfId="0" applyFont="1" applyFill="1"/>
    <xf numFmtId="0" fontId="0" fillId="72" borderId="0" xfId="0" applyFill="1"/>
    <xf numFmtId="2" fontId="74" fillId="5" borderId="0" xfId="0" applyNumberFormat="1" applyFont="1" applyFill="1" applyProtection="1">
      <protection locked="0"/>
    </xf>
    <xf numFmtId="168" fontId="74" fillId="5" borderId="44" xfId="0" applyNumberFormat="1" applyFont="1" applyFill="1" applyBorder="1"/>
    <xf numFmtId="2" fontId="14" fillId="5" borderId="17" xfId="0" applyNumberFormat="1" applyFont="1" applyFill="1" applyBorder="1" applyAlignment="1">
      <alignment horizontal="right" vertical="center"/>
    </xf>
    <xf numFmtId="2" fontId="14" fillId="0" borderId="17" xfId="0" applyNumberFormat="1" applyFont="1" applyBorder="1" applyAlignment="1">
      <alignment horizontal="right" vertical="center"/>
    </xf>
    <xf numFmtId="175" fontId="0" fillId="5" borderId="0" xfId="0" applyNumberFormat="1" applyFill="1"/>
    <xf numFmtId="14" fontId="13" fillId="0" borderId="45" xfId="1" applyNumberFormat="1" applyFont="1" applyBorder="1"/>
    <xf numFmtId="3" fontId="15" fillId="6" borderId="45" xfId="467" applyNumberFormat="1" applyFont="1" applyFill="1" applyBorder="1"/>
    <xf numFmtId="3" fontId="16" fillId="6" borderId="45" xfId="0" applyNumberFormat="1" applyFont="1" applyFill="1" applyBorder="1"/>
    <xf numFmtId="3" fontId="16" fillId="0" borderId="45" xfId="0" applyNumberFormat="1" applyFont="1" applyBorder="1"/>
    <xf numFmtId="3" fontId="77" fillId="0" borderId="45" xfId="0" applyNumberFormat="1" applyFont="1" applyBorder="1"/>
    <xf numFmtId="3" fontId="15" fillId="6" borderId="45" xfId="0" applyNumberFormat="1" applyFont="1" applyFill="1" applyBorder="1"/>
    <xf numFmtId="165" fontId="13" fillId="5" borderId="43" xfId="1" applyNumberFormat="1" applyFont="1" applyFill="1" applyBorder="1"/>
    <xf numFmtId="3" fontId="77" fillId="3" borderId="43" xfId="0" applyNumberFormat="1" applyFont="1" applyFill="1" applyBorder="1"/>
    <xf numFmtId="3" fontId="77" fillId="0" borderId="43" xfId="0" applyNumberFormat="1" applyFont="1" applyBorder="1"/>
    <xf numFmtId="14" fontId="13" fillId="0" borderId="46" xfId="1" applyNumberFormat="1" applyFont="1" applyBorder="1"/>
    <xf numFmtId="3" fontId="15" fillId="6" borderId="46" xfId="467" applyNumberFormat="1" applyFont="1" applyFill="1" applyBorder="1"/>
    <xf numFmtId="3" fontId="16" fillId="6" borderId="46" xfId="0" applyNumberFormat="1" applyFont="1" applyFill="1" applyBorder="1"/>
    <xf numFmtId="3" fontId="16" fillId="0" borderId="46" xfId="0" applyNumberFormat="1" applyFont="1" applyBorder="1"/>
    <xf numFmtId="3" fontId="77" fillId="0" borderId="46" xfId="0" applyNumberFormat="1" applyFont="1" applyBorder="1"/>
    <xf numFmtId="3" fontId="15" fillId="6" borderId="46" xfId="0" applyNumberFormat="1" applyFont="1" applyFill="1" applyBorder="1"/>
    <xf numFmtId="2" fontId="74" fillId="5" borderId="0" xfId="0" applyNumberFormat="1" applyFont="1" applyFill="1" applyAlignment="1">
      <alignment horizontal="right"/>
    </xf>
    <xf numFmtId="2" fontId="74" fillId="5" borderId="30" xfId="0" applyNumberFormat="1" applyFont="1" applyFill="1" applyBorder="1" applyAlignment="1">
      <alignment horizontal="right"/>
    </xf>
    <xf numFmtId="2" fontId="14" fillId="69" borderId="0" xfId="0" applyNumberFormat="1" applyFont="1" applyFill="1" applyAlignment="1">
      <alignment horizontal="right"/>
    </xf>
    <xf numFmtId="1" fontId="14" fillId="69" borderId="0" xfId="0" applyNumberFormat="1" applyFont="1" applyFill="1" applyAlignment="1">
      <alignment horizontal="right"/>
    </xf>
    <xf numFmtId="0" fontId="90" fillId="5" borderId="0" xfId="0" quotePrefix="1" applyFont="1" applyFill="1"/>
    <xf numFmtId="0" fontId="9" fillId="5" borderId="0" xfId="0" applyFont="1" applyFill="1" applyAlignment="1">
      <alignment vertical="top" wrapText="1"/>
    </xf>
    <xf numFmtId="0" fontId="11" fillId="0" borderId="0" xfId="3" applyFont="1" applyAlignment="1">
      <alignment wrapText="1"/>
    </xf>
    <xf numFmtId="0" fontId="12" fillId="5" borderId="5" xfId="0" applyFont="1" applyFill="1" applyBorder="1" applyAlignment="1">
      <alignment wrapText="1"/>
    </xf>
    <xf numFmtId="166" fontId="15" fillId="2" borderId="24" xfId="0" applyNumberFormat="1" applyFont="1" applyFill="1" applyBorder="1"/>
    <xf numFmtId="3" fontId="15" fillId="2" borderId="49" xfId="0" applyNumberFormat="1" applyFont="1" applyFill="1" applyBorder="1"/>
    <xf numFmtId="167" fontId="15" fillId="2" borderId="1" xfId="0" applyNumberFormat="1" applyFont="1" applyFill="1" applyBorder="1"/>
    <xf numFmtId="0" fontId="91" fillId="5" borderId="0" xfId="0" applyFont="1" applyFill="1"/>
    <xf numFmtId="0" fontId="92" fillId="5" borderId="0" xfId="0" applyFont="1" applyFill="1"/>
    <xf numFmtId="0" fontId="83" fillId="5" borderId="0" xfId="0" applyFont="1" applyFill="1"/>
    <xf numFmtId="3" fontId="15" fillId="2" borderId="43" xfId="0" applyNumberFormat="1" applyFont="1" applyFill="1" applyBorder="1"/>
    <xf numFmtId="3" fontId="22" fillId="2" borderId="43" xfId="0" applyNumberFormat="1" applyFont="1" applyFill="1" applyBorder="1"/>
    <xf numFmtId="3" fontId="16" fillId="5" borderId="0" xfId="0" applyNumberFormat="1" applyFont="1" applyFill="1"/>
    <xf numFmtId="3" fontId="16" fillId="5" borderId="0" xfId="0" applyNumberFormat="1" applyFont="1" applyFill="1" applyAlignment="1">
      <alignment wrapText="1"/>
    </xf>
    <xf numFmtId="3" fontId="77" fillId="5" borderId="0" xfId="0" applyNumberFormat="1" applyFont="1" applyFill="1"/>
    <xf numFmtId="1" fontId="78" fillId="5" borderId="0" xfId="0" applyNumberFormat="1" applyFont="1" applyFill="1"/>
    <xf numFmtId="176" fontId="20" fillId="5" borderId="0" xfId="474" applyNumberFormat="1" applyFont="1" applyFill="1"/>
    <xf numFmtId="2" fontId="22" fillId="5" borderId="0" xfId="0" applyNumberFormat="1" applyFont="1" applyFill="1" applyAlignment="1">
      <alignment vertical="center"/>
    </xf>
    <xf numFmtId="2" fontId="74" fillId="5" borderId="0" xfId="0" applyNumberFormat="1" applyFont="1" applyFill="1" applyAlignment="1">
      <alignment vertical="center"/>
    </xf>
    <xf numFmtId="2" fontId="74" fillId="4" borderId="1" xfId="0" applyNumberFormat="1" applyFont="1" applyFill="1" applyBorder="1" applyAlignment="1">
      <alignment vertical="center"/>
    </xf>
    <xf numFmtId="0" fontId="93" fillId="5" borderId="39" xfId="0" applyFont="1" applyFill="1" applyBorder="1"/>
    <xf numFmtId="166" fontId="80" fillId="5" borderId="39" xfId="0" applyNumberFormat="1" applyFont="1" applyFill="1" applyBorder="1"/>
    <xf numFmtId="0" fontId="94" fillId="2" borderId="1" xfId="0" applyFont="1" applyFill="1" applyBorder="1" applyAlignment="1">
      <alignment horizontal="left" vertical="center"/>
    </xf>
    <xf numFmtId="167" fontId="95" fillId="2" borderId="1" xfId="1" applyNumberFormat="1" applyFont="1" applyFill="1" applyBorder="1"/>
    <xf numFmtId="167" fontId="95" fillId="6" borderId="8" xfId="1" applyNumberFormat="1" applyFont="1" applyFill="1" applyBorder="1"/>
    <xf numFmtId="167" fontId="95" fillId="2" borderId="6" xfId="1" applyNumberFormat="1" applyFont="1" applyFill="1" applyBorder="1"/>
    <xf numFmtId="4" fontId="95" fillId="6" borderId="8" xfId="1" applyNumberFormat="1" applyFont="1" applyFill="1" applyBorder="1"/>
    <xf numFmtId="43" fontId="95" fillId="2" borderId="1" xfId="467" applyFont="1" applyFill="1" applyBorder="1"/>
    <xf numFmtId="43" fontId="95" fillId="2" borderId="24" xfId="467" applyFont="1" applyFill="1" applyBorder="1"/>
    <xf numFmtId="2" fontId="95" fillId="2" borderId="1" xfId="467" applyNumberFormat="1" applyFont="1" applyFill="1" applyBorder="1"/>
    <xf numFmtId="1" fontId="95" fillId="6" borderId="31" xfId="467" applyNumberFormat="1" applyFont="1" applyFill="1" applyBorder="1" applyAlignment="1"/>
    <xf numFmtId="43" fontId="95" fillId="2" borderId="26" xfId="467" applyFont="1" applyFill="1" applyBorder="1"/>
    <xf numFmtId="4" fontId="95" fillId="6" borderId="45" xfId="1" applyNumberFormat="1" applyFont="1" applyFill="1" applyBorder="1"/>
    <xf numFmtId="43" fontId="95" fillId="2" borderId="43" xfId="467" applyFont="1" applyFill="1" applyBorder="1"/>
    <xf numFmtId="4" fontId="95" fillId="6" borderId="46" xfId="1" applyNumberFormat="1" applyFont="1" applyFill="1" applyBorder="1"/>
    <xf numFmtId="0" fontId="96" fillId="5" borderId="0" xfId="0" applyFont="1" applyFill="1"/>
    <xf numFmtId="0" fontId="97" fillId="0" borderId="1" xfId="0" applyFont="1" applyBorder="1" applyAlignment="1">
      <alignment horizontal="left" vertical="center"/>
    </xf>
    <xf numFmtId="167" fontId="95" fillId="0" borderId="1" xfId="1" applyNumberFormat="1" applyFont="1" applyBorder="1"/>
    <xf numFmtId="167" fontId="95" fillId="0" borderId="8" xfId="1" applyNumberFormat="1" applyFont="1" applyBorder="1"/>
    <xf numFmtId="4" fontId="95" fillId="0" borderId="1" xfId="1" applyNumberFormat="1" applyFont="1" applyBorder="1"/>
    <xf numFmtId="4" fontId="95" fillId="0" borderId="2" xfId="1" applyNumberFormat="1" applyFont="1" applyBorder="1"/>
    <xf numFmtId="4" fontId="95" fillId="0" borderId="7" xfId="1" applyNumberFormat="1" applyFont="1" applyBorder="1"/>
    <xf numFmtId="4" fontId="95" fillId="0" borderId="23" xfId="1" applyNumberFormat="1" applyFont="1" applyBorder="1"/>
    <xf numFmtId="167" fontId="95" fillId="0" borderId="7" xfId="1" applyNumberFormat="1" applyFont="1" applyBorder="1"/>
    <xf numFmtId="167" fontId="95" fillId="0" borderId="25" xfId="1" applyNumberFormat="1" applyFont="1" applyBorder="1"/>
    <xf numFmtId="172" fontId="98" fillId="0" borderId="25" xfId="0" applyNumberFormat="1" applyFont="1" applyBorder="1"/>
    <xf numFmtId="1" fontId="98" fillId="0" borderId="31" xfId="0" applyNumberFormat="1" applyFont="1" applyBorder="1"/>
    <xf numFmtId="4" fontId="98" fillId="0" borderId="45" xfId="0" applyNumberFormat="1" applyFont="1" applyBorder="1"/>
    <xf numFmtId="172" fontId="98" fillId="0" borderId="43" xfId="0" applyNumberFormat="1" applyFont="1" applyBorder="1"/>
    <xf numFmtId="4" fontId="98" fillId="0" borderId="46" xfId="0" applyNumberFormat="1" applyFont="1" applyBorder="1"/>
    <xf numFmtId="4" fontId="95" fillId="0" borderId="6" xfId="1" applyNumberFormat="1" applyFont="1" applyBorder="1"/>
    <xf numFmtId="4" fontId="95" fillId="0" borderId="8" xfId="1" applyNumberFormat="1" applyFont="1" applyBorder="1"/>
    <xf numFmtId="167" fontId="95" fillId="0" borderId="6" xfId="1" applyNumberFormat="1" applyFont="1" applyBorder="1"/>
    <xf numFmtId="167" fontId="95" fillId="0" borderId="24" xfId="1" applyNumberFormat="1" applyFont="1" applyBorder="1"/>
    <xf numFmtId="0" fontId="94" fillId="3" borderId="1" xfId="0" applyFont="1" applyFill="1" applyBorder="1" applyAlignment="1">
      <alignment horizontal="left" vertical="center"/>
    </xf>
    <xf numFmtId="167" fontId="95" fillId="3" borderId="1" xfId="1" applyNumberFormat="1" applyFont="1" applyFill="1" applyBorder="1"/>
    <xf numFmtId="167" fontId="95" fillId="3" borderId="2" xfId="1" applyNumberFormat="1" applyFont="1" applyFill="1" applyBorder="1"/>
    <xf numFmtId="167" fontId="95" fillId="3" borderId="6" xfId="1" applyNumberFormat="1" applyFont="1" applyFill="1" applyBorder="1"/>
    <xf numFmtId="167" fontId="95" fillId="2" borderId="24" xfId="1" applyNumberFormat="1" applyFont="1" applyFill="1" applyBorder="1"/>
    <xf numFmtId="167" fontId="95" fillId="3" borderId="24" xfId="1" applyNumberFormat="1" applyFont="1" applyFill="1" applyBorder="1"/>
    <xf numFmtId="4" fontId="95" fillId="2" borderId="6" xfId="1" applyNumberFormat="1" applyFont="1" applyFill="1" applyBorder="1"/>
    <xf numFmtId="4" fontId="95" fillId="2" borderId="24" xfId="1" applyNumberFormat="1" applyFont="1" applyFill="1" applyBorder="1"/>
    <xf numFmtId="1" fontId="95" fillId="6" borderId="31" xfId="1" applyNumberFormat="1" applyFont="1" applyFill="1" applyBorder="1"/>
    <xf numFmtId="4" fontId="95" fillId="3" borderId="25" xfId="1" applyNumberFormat="1" applyFont="1" applyFill="1" applyBorder="1"/>
    <xf numFmtId="4" fontId="95" fillId="3" borderId="6" xfId="1" applyNumberFormat="1" applyFont="1" applyFill="1" applyBorder="1"/>
    <xf numFmtId="4" fontId="95" fillId="3" borderId="43" xfId="1" applyNumberFormat="1" applyFont="1" applyFill="1" applyBorder="1"/>
    <xf numFmtId="0" fontId="97" fillId="0" borderId="1" xfId="0" applyFont="1" applyBorder="1" applyAlignment="1">
      <alignment wrapText="1"/>
    </xf>
    <xf numFmtId="3" fontId="95" fillId="0" borderId="1" xfId="1" applyNumberFormat="1" applyFont="1" applyBorder="1"/>
    <xf numFmtId="3" fontId="95" fillId="0" borderId="8" xfId="1" applyNumberFormat="1" applyFont="1" applyBorder="1"/>
    <xf numFmtId="3" fontId="95" fillId="0" borderId="2" xfId="1" applyNumberFormat="1" applyFont="1" applyBorder="1"/>
    <xf numFmtId="3" fontId="95" fillId="0" borderId="6" xfId="1" applyNumberFormat="1" applyFont="1" applyBorder="1"/>
    <xf numFmtId="3" fontId="95" fillId="0" borderId="24" xfId="1" applyNumberFormat="1" applyFont="1" applyBorder="1"/>
    <xf numFmtId="3" fontId="95" fillId="0" borderId="31" xfId="1" applyNumberFormat="1" applyFont="1" applyBorder="1"/>
    <xf numFmtId="3" fontId="95" fillId="0" borderId="26" xfId="1" applyNumberFormat="1" applyFont="1" applyBorder="1"/>
    <xf numFmtId="3" fontId="95" fillId="0" borderId="45" xfId="1" applyNumberFormat="1" applyFont="1" applyBorder="1"/>
    <xf numFmtId="3" fontId="95" fillId="0" borderId="43" xfId="1" applyNumberFormat="1" applyFont="1" applyBorder="1"/>
    <xf numFmtId="3" fontId="95" fillId="0" borderId="46" xfId="1" applyNumberFormat="1" applyFont="1" applyBorder="1"/>
    <xf numFmtId="3" fontId="95" fillId="0" borderId="25" xfId="1" applyNumberFormat="1" applyFont="1" applyBorder="1"/>
    <xf numFmtId="3" fontId="98" fillId="0" borderId="31" xfId="0" applyNumberFormat="1" applyFont="1" applyBorder="1"/>
    <xf numFmtId="3" fontId="98" fillId="0" borderId="25" xfId="0" applyNumberFormat="1" applyFont="1" applyBorder="1"/>
    <xf numFmtId="3" fontId="98" fillId="0" borderId="43" xfId="0" applyNumberFormat="1" applyFont="1" applyBorder="1"/>
    <xf numFmtId="167" fontId="0" fillId="5" borderId="32" xfId="0" applyNumberFormat="1" applyFill="1" applyBorder="1"/>
    <xf numFmtId="166" fontId="14" fillId="5" borderId="0" xfId="0" applyNumberFormat="1" applyFont="1" applyFill="1"/>
    <xf numFmtId="176" fontId="9" fillId="5" borderId="0" xfId="474" applyNumberFormat="1" applyFont="1" applyFill="1"/>
    <xf numFmtId="0" fontId="99" fillId="5" borderId="0" xfId="0" applyFont="1" applyFill="1"/>
    <xf numFmtId="0" fontId="100" fillId="5" borderId="0" xfId="2" applyFont="1" applyFill="1" applyBorder="1" applyAlignment="1"/>
    <xf numFmtId="165" fontId="13" fillId="0" borderId="24" xfId="1" applyNumberFormat="1" applyFont="1" applyBorder="1" applyAlignment="1">
      <alignment horizontal="center" vertical="center" wrapText="1"/>
    </xf>
    <xf numFmtId="167" fontId="14" fillId="70" borderId="1" xfId="0" applyNumberFormat="1" applyFont="1" applyFill="1" applyBorder="1" applyAlignment="1">
      <alignment horizontal="right" vertical="center"/>
    </xf>
    <xf numFmtId="0" fontId="19" fillId="5" borderId="0" xfId="0" applyFont="1" applyFill="1"/>
    <xf numFmtId="0" fontId="84" fillId="5" borderId="0" xfId="0" applyFont="1" applyFill="1"/>
    <xf numFmtId="3" fontId="101" fillId="3" borderId="24" xfId="0" applyNumberFormat="1" applyFont="1" applyFill="1" applyBorder="1"/>
    <xf numFmtId="166" fontId="101" fillId="3" borderId="24" xfId="0" applyNumberFormat="1" applyFont="1" applyFill="1" applyBorder="1"/>
    <xf numFmtId="3" fontId="101" fillId="3" borderId="45" xfId="0" applyNumberFormat="1" applyFont="1" applyFill="1" applyBorder="1"/>
    <xf numFmtId="167" fontId="101" fillId="3" borderId="24" xfId="0" applyNumberFormat="1" applyFont="1" applyFill="1" applyBorder="1"/>
    <xf numFmtId="166" fontId="101" fillId="3" borderId="48" xfId="0" applyNumberFormat="1" applyFont="1" applyFill="1" applyBorder="1"/>
    <xf numFmtId="167" fontId="101" fillId="3" borderId="48" xfId="0" applyNumberFormat="1" applyFont="1" applyFill="1" applyBorder="1"/>
    <xf numFmtId="3" fontId="101" fillId="3" borderId="25" xfId="0" applyNumberFormat="1" applyFont="1" applyFill="1" applyBorder="1"/>
    <xf numFmtId="3" fontId="101" fillId="0" borderId="24" xfId="0" applyNumberFormat="1" applyFont="1" applyBorder="1"/>
    <xf numFmtId="166" fontId="101" fillId="0" borderId="24" xfId="474" applyNumberFormat="1" applyFont="1" applyBorder="1"/>
    <xf numFmtId="3" fontId="101" fillId="0" borderId="45" xfId="0" applyNumberFormat="1" applyFont="1" applyBorder="1"/>
    <xf numFmtId="167" fontId="101" fillId="0" borderId="24" xfId="0" applyNumberFormat="1" applyFont="1" applyBorder="1"/>
    <xf numFmtId="167" fontId="101" fillId="0" borderId="48" xfId="0" applyNumberFormat="1" applyFont="1" applyBorder="1"/>
    <xf numFmtId="3" fontId="101" fillId="0" borderId="25" xfId="0" applyNumberFormat="1" applyFont="1" applyBorder="1"/>
    <xf numFmtId="167" fontId="15" fillId="2" borderId="48" xfId="0" applyNumberFormat="1" applyFont="1" applyFill="1" applyBorder="1" applyAlignment="1">
      <alignment horizontal="center" vertical="center"/>
    </xf>
    <xf numFmtId="165" fontId="13" fillId="0" borderId="45" xfId="1" applyNumberFormat="1" applyFont="1" applyBorder="1" applyAlignment="1">
      <alignment horizontal="center" vertical="center" wrapText="1"/>
    </xf>
    <xf numFmtId="167" fontId="15" fillId="2" borderId="24" xfId="474" applyNumberFormat="1" applyFont="1" applyFill="1" applyBorder="1"/>
    <xf numFmtId="167" fontId="15" fillId="2" borderId="24" xfId="1" applyNumberFormat="1" applyFont="1" applyFill="1" applyBorder="1" applyAlignment="1">
      <alignment horizontal="center" vertical="center"/>
    </xf>
    <xf numFmtId="166" fontId="15" fillId="2" borderId="24" xfId="474" applyNumberFormat="1" applyFont="1" applyFill="1" applyBorder="1" applyAlignment="1">
      <alignment horizontal="center" vertical="center"/>
    </xf>
    <xf numFmtId="167" fontId="15" fillId="2" borderId="45" xfId="474" applyNumberFormat="1" applyFont="1" applyFill="1" applyBorder="1"/>
    <xf numFmtId="167" fontId="15" fillId="2" borderId="48" xfId="1" applyNumberFormat="1" applyFont="1" applyFill="1" applyBorder="1" applyAlignment="1">
      <alignment horizontal="center" vertical="center"/>
    </xf>
    <xf numFmtId="166" fontId="15" fillId="2" borderId="24" xfId="474" applyNumberFormat="1" applyFont="1" applyFill="1" applyBorder="1"/>
    <xf numFmtId="166" fontId="15" fillId="2" borderId="45" xfId="474" applyNumberFormat="1" applyFont="1" applyFill="1" applyBorder="1"/>
    <xf numFmtId="166" fontId="15" fillId="2" borderId="24" xfId="474" applyNumberFormat="1" applyFont="1" applyFill="1" applyBorder="1" applyAlignment="1">
      <alignment horizontal="right" vertical="center"/>
    </xf>
    <xf numFmtId="166" fontId="15" fillId="2" borderId="25" xfId="474" applyNumberFormat="1" applyFont="1" applyFill="1" applyBorder="1" applyAlignment="1">
      <alignment horizontal="right" vertical="center"/>
    </xf>
    <xf numFmtId="167" fontId="15" fillId="70" borderId="24" xfId="1" applyNumberFormat="1" applyFont="1" applyFill="1" applyBorder="1" applyAlignment="1">
      <alignment horizontal="right" vertical="center"/>
    </xf>
    <xf numFmtId="3" fontId="14" fillId="3" borderId="24" xfId="474" applyNumberFormat="1" applyFont="1" applyFill="1" applyBorder="1"/>
    <xf numFmtId="3" fontId="14" fillId="3" borderId="45" xfId="474" applyNumberFormat="1" applyFont="1" applyFill="1" applyBorder="1"/>
    <xf numFmtId="3" fontId="14" fillId="3" borderId="24" xfId="474" applyNumberFormat="1" applyFont="1" applyFill="1" applyBorder="1" applyAlignment="1">
      <alignment horizontal="right" vertical="center"/>
    </xf>
    <xf numFmtId="3" fontId="14" fillId="3" borderId="25" xfId="474" applyNumberFormat="1" applyFont="1" applyFill="1" applyBorder="1"/>
    <xf numFmtId="3" fontId="14" fillId="5" borderId="24" xfId="474" applyNumberFormat="1" applyFont="1" applyFill="1" applyBorder="1"/>
    <xf numFmtId="3" fontId="14" fillId="5" borderId="45" xfId="474" applyNumberFormat="1" applyFont="1" applyFill="1" applyBorder="1"/>
    <xf numFmtId="3" fontId="14" fillId="5" borderId="24" xfId="474" applyNumberFormat="1" applyFont="1" applyFill="1" applyBorder="1" applyAlignment="1">
      <alignment horizontal="right" vertical="center"/>
    </xf>
    <xf numFmtId="3" fontId="14" fillId="5" borderId="25" xfId="474" applyNumberFormat="1" applyFont="1" applyFill="1" applyBorder="1"/>
    <xf numFmtId="167" fontId="14" fillId="0" borderId="25" xfId="1" applyNumberFormat="1" applyFont="1" applyBorder="1"/>
    <xf numFmtId="3" fontId="14" fillId="0" borderId="25" xfId="1" applyNumberFormat="1" applyFont="1" applyBorder="1"/>
    <xf numFmtId="167" fontId="14" fillId="0" borderId="47" xfId="1" applyNumberFormat="1" applyFont="1" applyBorder="1"/>
    <xf numFmtId="3" fontId="78" fillId="5" borderId="30" xfId="0" applyNumberFormat="1" applyFont="1" applyFill="1" applyBorder="1" applyAlignment="1">
      <alignment horizontal="right"/>
    </xf>
    <xf numFmtId="3" fontId="78" fillId="5" borderId="44" xfId="0" applyNumberFormat="1" applyFont="1" applyFill="1" applyBorder="1" applyAlignment="1">
      <alignment horizontal="right"/>
    </xf>
    <xf numFmtId="3" fontId="78" fillId="0" borderId="30" xfId="0" applyNumberFormat="1" applyFont="1" applyBorder="1" applyAlignment="1">
      <alignment horizontal="right"/>
    </xf>
    <xf numFmtId="3" fontId="78" fillId="70" borderId="50" xfId="0" applyNumberFormat="1" applyFont="1" applyFill="1" applyBorder="1" applyAlignment="1">
      <alignment horizontal="right"/>
    </xf>
    <xf numFmtId="0" fontId="0" fillId="5" borderId="51" xfId="0" applyFill="1" applyBorder="1" applyAlignment="1">
      <alignment horizontal="center" vertical="center"/>
    </xf>
    <xf numFmtId="0" fontId="0" fillId="5" borderId="52" xfId="0" applyFill="1" applyBorder="1" applyAlignment="1">
      <alignment horizontal="center" vertical="center"/>
    </xf>
    <xf numFmtId="1" fontId="14" fillId="5" borderId="53" xfId="0" applyNumberFormat="1" applyFont="1" applyFill="1" applyBorder="1" applyAlignment="1">
      <alignment horizontal="center" vertical="center"/>
    </xf>
    <xf numFmtId="1" fontId="14" fillId="5" borderId="54" xfId="0" applyNumberFormat="1" applyFont="1" applyFill="1" applyBorder="1" applyAlignment="1">
      <alignment horizontal="center" vertical="center"/>
    </xf>
    <xf numFmtId="1" fontId="14" fillId="5" borderId="55" xfId="0" applyNumberFormat="1" applyFont="1" applyFill="1" applyBorder="1" applyAlignment="1">
      <alignment horizontal="center" vertical="center"/>
    </xf>
    <xf numFmtId="3" fontId="102" fillId="5" borderId="0" xfId="0" quotePrefix="1" applyNumberFormat="1" applyFont="1" applyFill="1"/>
    <xf numFmtId="3" fontId="14" fillId="5" borderId="24" xfId="1" applyNumberFormat="1" applyFont="1" applyFill="1" applyBorder="1" applyAlignment="1">
      <alignment horizontal="right" vertical="center"/>
    </xf>
    <xf numFmtId="3" fontId="14" fillId="3" borderId="24" xfId="1" applyNumberFormat="1" applyFont="1" applyFill="1" applyBorder="1" applyAlignment="1">
      <alignment horizontal="right" vertical="center"/>
    </xf>
    <xf numFmtId="176" fontId="0" fillId="5" borderId="0" xfId="474" applyNumberFormat="1" applyFont="1" applyFill="1"/>
    <xf numFmtId="167" fontId="15" fillId="2" borderId="48" xfId="0" applyNumberFormat="1" applyFont="1" applyFill="1" applyBorder="1" applyAlignment="1">
      <alignment horizontal="right"/>
    </xf>
    <xf numFmtId="167" fontId="0" fillId="5" borderId="0" xfId="0" applyNumberFormat="1" applyFill="1"/>
    <xf numFmtId="167" fontId="14" fillId="5" borderId="24" xfId="1" applyNumberFormat="1" applyFont="1" applyFill="1" applyBorder="1" applyAlignment="1">
      <alignment horizontal="right" vertical="center"/>
    </xf>
    <xf numFmtId="167" fontId="14" fillId="3" borderId="24" xfId="1" applyNumberFormat="1" applyFont="1" applyFill="1" applyBorder="1" applyAlignment="1">
      <alignment horizontal="right" vertical="center"/>
    </xf>
    <xf numFmtId="167" fontId="14" fillId="3" borderId="48" xfId="1" applyNumberFormat="1" applyFont="1" applyFill="1" applyBorder="1" applyAlignment="1">
      <alignment horizontal="right" vertical="center"/>
    </xf>
    <xf numFmtId="167" fontId="14" fillId="5" borderId="48" xfId="1" applyNumberFormat="1" applyFont="1" applyFill="1" applyBorder="1" applyAlignment="1">
      <alignment horizontal="right" vertical="center"/>
    </xf>
    <xf numFmtId="165" fontId="13" fillId="5" borderId="24" xfId="1" applyNumberFormat="1" applyFont="1" applyFill="1" applyBorder="1" applyAlignment="1">
      <alignment horizontal="center" vertical="center" wrapText="1"/>
    </xf>
    <xf numFmtId="165" fontId="13" fillId="5" borderId="48" xfId="1" applyNumberFormat="1" applyFont="1" applyFill="1" applyBorder="1" applyAlignment="1">
      <alignment horizontal="center" vertical="center" wrapText="1"/>
    </xf>
    <xf numFmtId="165" fontId="13" fillId="5" borderId="45" xfId="1" applyNumberFormat="1" applyFont="1" applyFill="1" applyBorder="1" applyAlignment="1">
      <alignment horizontal="center" vertical="center" wrapText="1"/>
    </xf>
    <xf numFmtId="0" fontId="84" fillId="0" borderId="0" xfId="0" applyFont="1"/>
    <xf numFmtId="0" fontId="0" fillId="0" borderId="0" xfId="0" applyAlignment="1">
      <alignment horizontal="center" vertical="center"/>
    </xf>
    <xf numFmtId="0" fontId="84" fillId="0" borderId="0" xfId="0" applyFont="1" applyAlignment="1">
      <alignment horizontal="center" vertical="center"/>
    </xf>
    <xf numFmtId="0" fontId="84" fillId="70" borderId="0" xfId="0" applyFont="1" applyFill="1" applyAlignment="1">
      <alignment horizontal="center" vertical="center"/>
    </xf>
    <xf numFmtId="3" fontId="0" fillId="73" borderId="0" xfId="0" applyNumberFormat="1" applyFill="1"/>
    <xf numFmtId="176" fontId="0" fillId="0" borderId="0" xfId="474" applyNumberFormat="1" applyFont="1"/>
    <xf numFmtId="176" fontId="0" fillId="0" borderId="0" xfId="0" applyNumberFormat="1"/>
    <xf numFmtId="0" fontId="84" fillId="70" borderId="56" xfId="0" applyFont="1" applyFill="1" applyBorder="1" applyAlignment="1">
      <alignment horizontal="center" vertical="center"/>
    </xf>
    <xf numFmtId="0" fontId="0" fillId="0" borderId="57" xfId="0" applyBorder="1" applyAlignment="1">
      <alignment horizontal="center" vertical="center"/>
    </xf>
    <xf numFmtId="176" fontId="0" fillId="0" borderId="58" xfId="0" applyNumberFormat="1" applyBorder="1"/>
    <xf numFmtId="0" fontId="84" fillId="0" borderId="59" xfId="0" applyFont="1" applyBorder="1"/>
    <xf numFmtId="176" fontId="0" fillId="0" borderId="60" xfId="0" applyNumberFormat="1" applyBorder="1"/>
    <xf numFmtId="0" fontId="0" fillId="0" borderId="59" xfId="0" applyBorder="1"/>
    <xf numFmtId="0" fontId="0" fillId="0" borderId="61" xfId="0" applyBorder="1"/>
    <xf numFmtId="176" fontId="0" fillId="0" borderId="62" xfId="0" applyNumberFormat="1" applyBorder="1"/>
    <xf numFmtId="176" fontId="0" fillId="0" borderId="63" xfId="0" applyNumberFormat="1" applyBorder="1"/>
    <xf numFmtId="0" fontId="0" fillId="5" borderId="17" xfId="0" applyFill="1" applyBorder="1"/>
    <xf numFmtId="0" fontId="0" fillId="5" borderId="17" xfId="0" applyFill="1" applyBorder="1" applyAlignment="1">
      <alignment horizontal="center" vertical="center"/>
    </xf>
    <xf numFmtId="3" fontId="0" fillId="5" borderId="17" xfId="0" applyNumberFormat="1" applyFill="1" applyBorder="1"/>
    <xf numFmtId="0" fontId="0" fillId="6" borderId="17" xfId="0" applyFill="1" applyBorder="1" applyAlignment="1">
      <alignment horizontal="center" vertical="center"/>
    </xf>
    <xf numFmtId="167" fontId="0" fillId="5" borderId="17" xfId="0" applyNumberFormat="1" applyFill="1" applyBorder="1"/>
    <xf numFmtId="0" fontId="0" fillId="6" borderId="17" xfId="0" applyFill="1" applyBorder="1" applyAlignment="1">
      <alignment horizontal="center" vertical="center" wrapText="1"/>
    </xf>
    <xf numFmtId="167" fontId="83" fillId="5" borderId="17" xfId="0" applyNumberFormat="1" applyFont="1" applyFill="1" applyBorder="1"/>
    <xf numFmtId="0" fontId="0" fillId="4" borderId="17" xfId="0" applyFill="1" applyBorder="1" applyAlignment="1">
      <alignment horizontal="center" vertical="center" wrapText="1"/>
    </xf>
    <xf numFmtId="176" fontId="0" fillId="5" borderId="17" xfId="474" applyNumberFormat="1" applyFont="1" applyFill="1" applyBorder="1"/>
    <xf numFmtId="0" fontId="84" fillId="5" borderId="17" xfId="0" applyFont="1" applyFill="1" applyBorder="1" applyAlignment="1">
      <alignment horizontal="center" vertical="center"/>
    </xf>
    <xf numFmtId="0" fontId="84" fillId="5" borderId="17" xfId="0" applyFont="1" applyFill="1" applyBorder="1"/>
    <xf numFmtId="3" fontId="10" fillId="5" borderId="0" xfId="0" applyNumberFormat="1" applyFont="1" applyFill="1"/>
    <xf numFmtId="3" fontId="84" fillId="5" borderId="17" xfId="0" applyNumberFormat="1" applyFont="1" applyFill="1" applyBorder="1"/>
    <xf numFmtId="167" fontId="0" fillId="74" borderId="17" xfId="0" applyNumberFormat="1" applyFill="1" applyBorder="1"/>
    <xf numFmtId="0" fontId="0" fillId="5" borderId="0" xfId="0" applyFill="1" applyAlignment="1">
      <alignment horizontal="center"/>
    </xf>
    <xf numFmtId="9" fontId="80" fillId="5" borderId="0" xfId="0" applyNumberFormat="1" applyFont="1" applyFill="1" applyAlignment="1">
      <alignment horizontal="center"/>
    </xf>
    <xf numFmtId="0" fontId="80" fillId="5" borderId="0" xfId="0" applyFont="1" applyFill="1" applyAlignment="1">
      <alignment horizontal="center"/>
    </xf>
    <xf numFmtId="3" fontId="78" fillId="70" borderId="30" xfId="0" applyNumberFormat="1" applyFont="1" applyFill="1" applyBorder="1" applyAlignment="1">
      <alignment horizontal="right"/>
    </xf>
    <xf numFmtId="167" fontId="78" fillId="5" borderId="32" xfId="0" applyNumberFormat="1" applyFont="1" applyFill="1" applyBorder="1"/>
    <xf numFmtId="3" fontId="19" fillId="5" borderId="0" xfId="0" applyNumberFormat="1" applyFont="1" applyFill="1"/>
    <xf numFmtId="0" fontId="103" fillId="0" borderId="0" xfId="0" applyFont="1" applyAlignment="1">
      <alignment horizontal="left" vertical="top" wrapText="1"/>
    </xf>
    <xf numFmtId="0" fontId="76" fillId="4" borderId="0" xfId="0" applyFont="1" applyFill="1" applyAlignment="1">
      <alignment horizontal="left" vertical="center"/>
    </xf>
    <xf numFmtId="0" fontId="87" fillId="5" borderId="32" xfId="0" applyFont="1"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5" borderId="37" xfId="0" applyFill="1" applyBorder="1" applyAlignment="1">
      <alignment horizontal="center" vertical="center" wrapText="1"/>
    </xf>
    <xf numFmtId="0" fontId="0" fillId="5" borderId="38" xfId="0" applyFill="1" applyBorder="1" applyAlignment="1">
      <alignment horizontal="center" vertical="center" wrapText="1"/>
    </xf>
    <xf numFmtId="0" fontId="0" fillId="5" borderId="39" xfId="0" applyFill="1" applyBorder="1" applyAlignment="1">
      <alignment horizontal="center" vertical="center" wrapText="1"/>
    </xf>
    <xf numFmtId="0" fontId="0" fillId="5" borderId="40"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42" xfId="0" applyFill="1" applyBorder="1" applyAlignment="1">
      <alignment horizontal="center" vertical="center" wrapText="1"/>
    </xf>
    <xf numFmtId="166" fontId="0" fillId="5" borderId="32" xfId="0" applyNumberFormat="1" applyFill="1" applyBorder="1" applyAlignment="1">
      <alignment horizontal="center" vertical="center" wrapText="1"/>
    </xf>
    <xf numFmtId="0" fontId="76" fillId="4" borderId="0" xfId="0" applyFont="1" applyFill="1" applyAlignment="1">
      <alignment horizontal="center"/>
    </xf>
    <xf numFmtId="166" fontId="0" fillId="5" borderId="33" xfId="0" applyNumberFormat="1" applyFill="1" applyBorder="1" applyAlignment="1">
      <alignment horizontal="center" vertical="center" wrapText="1"/>
    </xf>
    <xf numFmtId="166" fontId="0" fillId="5" borderId="35" xfId="0" applyNumberFormat="1" applyFill="1" applyBorder="1" applyAlignment="1">
      <alignment horizontal="center" vertical="center" wrapText="1"/>
    </xf>
    <xf numFmtId="166" fontId="0" fillId="5" borderId="36" xfId="0" applyNumberFormat="1" applyFill="1" applyBorder="1" applyAlignment="1">
      <alignment horizontal="center" vertical="center" wrapText="1"/>
    </xf>
    <xf numFmtId="2" fontId="22" fillId="4" borderId="6" xfId="0" applyNumberFormat="1" applyFont="1" applyFill="1" applyBorder="1" applyAlignment="1">
      <alignment horizontal="center" vertical="center"/>
    </xf>
    <xf numFmtId="2" fontId="22" fillId="4" borderId="7" xfId="0" applyNumberFormat="1" applyFont="1" applyFill="1" applyBorder="1" applyAlignment="1">
      <alignment horizontal="center" vertical="center"/>
    </xf>
    <xf numFmtId="2" fontId="22" fillId="4" borderId="2" xfId="0" applyNumberFormat="1" applyFont="1" applyFill="1" applyBorder="1" applyAlignment="1">
      <alignment horizontal="center" vertical="center"/>
    </xf>
    <xf numFmtId="2" fontId="74" fillId="4" borderId="6" xfId="0" applyNumberFormat="1" applyFont="1" applyFill="1" applyBorder="1" applyAlignment="1">
      <alignment horizontal="center" vertical="center"/>
    </xf>
    <xf numFmtId="2" fontId="74" fillId="4" borderId="2" xfId="0" applyNumberFormat="1" applyFont="1" applyFill="1" applyBorder="1" applyAlignment="1">
      <alignment horizontal="center" vertical="center"/>
    </xf>
    <xf numFmtId="2" fontId="74" fillId="4" borderId="7" xfId="0" applyNumberFormat="1" applyFont="1" applyFill="1" applyBorder="1" applyAlignment="1">
      <alignment horizontal="center" vertical="center"/>
    </xf>
    <xf numFmtId="2" fontId="22" fillId="4" borderId="24" xfId="0" applyNumberFormat="1" applyFont="1" applyFill="1" applyBorder="1" applyAlignment="1">
      <alignment horizontal="center" vertical="center"/>
    </xf>
    <xf numFmtId="2" fontId="22" fillId="4" borderId="25" xfId="0" applyNumberFormat="1" applyFont="1" applyFill="1" applyBorder="1" applyAlignment="1">
      <alignment horizontal="center" vertical="center"/>
    </xf>
    <xf numFmtId="2" fontId="22" fillId="4" borderId="26" xfId="0" applyNumberFormat="1" applyFont="1" applyFill="1" applyBorder="1" applyAlignment="1">
      <alignment horizontal="center" vertical="center"/>
    </xf>
    <xf numFmtId="2" fontId="74" fillId="4" borderId="24" xfId="0" applyNumberFormat="1" applyFont="1" applyFill="1" applyBorder="1" applyAlignment="1">
      <alignment horizontal="center" vertical="center"/>
    </xf>
    <xf numFmtId="2" fontId="74" fillId="4" borderId="25" xfId="0" applyNumberFormat="1" applyFont="1" applyFill="1" applyBorder="1" applyAlignment="1">
      <alignment horizontal="center" vertical="center"/>
    </xf>
    <xf numFmtId="2" fontId="74" fillId="4" borderId="26" xfId="0" applyNumberFormat="1" applyFont="1" applyFill="1" applyBorder="1" applyAlignment="1">
      <alignment horizontal="center" vertical="center"/>
    </xf>
    <xf numFmtId="1" fontId="79" fillId="5" borderId="45" xfId="1" applyNumberFormat="1" applyFont="1" applyFill="1" applyBorder="1" applyAlignment="1">
      <alignment horizontal="center" vertical="center" wrapText="1"/>
    </xf>
    <xf numFmtId="1" fontId="79" fillId="5" borderId="25" xfId="1" applyNumberFormat="1" applyFont="1" applyFill="1" applyBorder="1" applyAlignment="1">
      <alignment horizontal="center" vertical="center" wrapText="1"/>
    </xf>
    <xf numFmtId="1" fontId="79" fillId="5" borderId="47" xfId="1" applyNumberFormat="1" applyFont="1" applyFill="1" applyBorder="1" applyAlignment="1">
      <alignment horizontal="center" vertical="center" wrapText="1"/>
    </xf>
    <xf numFmtId="1" fontId="79" fillId="5" borderId="24" xfId="1" applyNumberFormat="1" applyFont="1" applyFill="1" applyBorder="1" applyAlignment="1">
      <alignment horizontal="center" vertical="center" wrapText="1"/>
    </xf>
    <xf numFmtId="4" fontId="9" fillId="5" borderId="0" xfId="0" applyNumberFormat="1" applyFont="1" applyFill="1"/>
    <xf numFmtId="177" fontId="9" fillId="5" borderId="0" xfId="0" applyNumberFormat="1" applyFont="1" applyFill="1"/>
  </cellXfs>
  <cellStyles count="475">
    <cellStyle name="20% - Accent1 2" xfId="8" xr:uid="{00000000-0005-0000-0000-000000000000}"/>
    <cellStyle name="20% - Accent1 3" xfId="9" xr:uid="{00000000-0005-0000-0000-000001000000}"/>
    <cellStyle name="20% - Accent1 4" xfId="10" xr:uid="{00000000-0005-0000-0000-000002000000}"/>
    <cellStyle name="20% - Accent2 2" xfId="11" xr:uid="{00000000-0005-0000-0000-000003000000}"/>
    <cellStyle name="20% - Accent2 3" xfId="12" xr:uid="{00000000-0005-0000-0000-000004000000}"/>
    <cellStyle name="20% - Accent2 4" xfId="13" xr:uid="{00000000-0005-0000-0000-000005000000}"/>
    <cellStyle name="20% - Accent3 2" xfId="14" xr:uid="{00000000-0005-0000-0000-000006000000}"/>
    <cellStyle name="20% - Accent3 3" xfId="15" xr:uid="{00000000-0005-0000-0000-000007000000}"/>
    <cellStyle name="20% - Accent3 4" xfId="16" xr:uid="{00000000-0005-0000-0000-000008000000}"/>
    <cellStyle name="20% - Accent4 2" xfId="17" xr:uid="{00000000-0005-0000-0000-000009000000}"/>
    <cellStyle name="20% - Accent4 3" xfId="18" xr:uid="{00000000-0005-0000-0000-00000A000000}"/>
    <cellStyle name="20% - Accent4 4" xfId="19" xr:uid="{00000000-0005-0000-0000-00000B000000}"/>
    <cellStyle name="20% - Accent5 2" xfId="20" xr:uid="{00000000-0005-0000-0000-00000C000000}"/>
    <cellStyle name="20% - Accent5 3" xfId="21" xr:uid="{00000000-0005-0000-0000-00000D000000}"/>
    <cellStyle name="20% - Accent5 4" xfId="22" xr:uid="{00000000-0005-0000-0000-00000E000000}"/>
    <cellStyle name="20% - Accent6 2" xfId="23" xr:uid="{00000000-0005-0000-0000-00000F000000}"/>
    <cellStyle name="20% - Accent6 3" xfId="24" xr:uid="{00000000-0005-0000-0000-000010000000}"/>
    <cellStyle name="20% - Accent6 4" xfId="25" xr:uid="{00000000-0005-0000-0000-000011000000}"/>
    <cellStyle name="40% - Accent1 2" xfId="26" xr:uid="{00000000-0005-0000-0000-000012000000}"/>
    <cellStyle name="40% - Accent1 3" xfId="27" xr:uid="{00000000-0005-0000-0000-000013000000}"/>
    <cellStyle name="40% - Accent1 4" xfId="28" xr:uid="{00000000-0005-0000-0000-000014000000}"/>
    <cellStyle name="40% - Accent2 2" xfId="29" xr:uid="{00000000-0005-0000-0000-000015000000}"/>
    <cellStyle name="40% - Accent2 3" xfId="30" xr:uid="{00000000-0005-0000-0000-000016000000}"/>
    <cellStyle name="40% - Accent2 4" xfId="31" xr:uid="{00000000-0005-0000-0000-000017000000}"/>
    <cellStyle name="40% - Accent3 2" xfId="32" xr:uid="{00000000-0005-0000-0000-000018000000}"/>
    <cellStyle name="40% - Accent3 3" xfId="33" xr:uid="{00000000-0005-0000-0000-000019000000}"/>
    <cellStyle name="40% - Accent3 4" xfId="34" xr:uid="{00000000-0005-0000-0000-00001A000000}"/>
    <cellStyle name="40% - Accent4 2" xfId="35" xr:uid="{00000000-0005-0000-0000-00001B000000}"/>
    <cellStyle name="40% - Accent4 3" xfId="36" xr:uid="{00000000-0005-0000-0000-00001C000000}"/>
    <cellStyle name="40% - Accent4 4" xfId="37" xr:uid="{00000000-0005-0000-0000-00001D000000}"/>
    <cellStyle name="40% - Accent5 2" xfId="38" xr:uid="{00000000-0005-0000-0000-00001E000000}"/>
    <cellStyle name="40% - Accent5 3" xfId="39" xr:uid="{00000000-0005-0000-0000-00001F000000}"/>
    <cellStyle name="40% - Accent5 4" xfId="40" xr:uid="{00000000-0005-0000-0000-000020000000}"/>
    <cellStyle name="40% - Accent6 2" xfId="41" xr:uid="{00000000-0005-0000-0000-000021000000}"/>
    <cellStyle name="40% - Accent6 3" xfId="42" xr:uid="{00000000-0005-0000-0000-000022000000}"/>
    <cellStyle name="40% - Accent6 4" xfId="43" xr:uid="{00000000-0005-0000-0000-000023000000}"/>
    <cellStyle name="60% - Accent1 2" xfId="44" xr:uid="{00000000-0005-0000-0000-000024000000}"/>
    <cellStyle name="60% - Accent1 3" xfId="45" xr:uid="{00000000-0005-0000-0000-000025000000}"/>
    <cellStyle name="60% - Accent1 4" xfId="46" xr:uid="{00000000-0005-0000-0000-000026000000}"/>
    <cellStyle name="60% - Accent2 2" xfId="47" xr:uid="{00000000-0005-0000-0000-000027000000}"/>
    <cellStyle name="60% - Accent2 3" xfId="48" xr:uid="{00000000-0005-0000-0000-000028000000}"/>
    <cellStyle name="60% - Accent2 4" xfId="49" xr:uid="{00000000-0005-0000-0000-000029000000}"/>
    <cellStyle name="60% - Accent3 2" xfId="50" xr:uid="{00000000-0005-0000-0000-00002A000000}"/>
    <cellStyle name="60% - Accent3 3" xfId="51" xr:uid="{00000000-0005-0000-0000-00002B000000}"/>
    <cellStyle name="60% - Accent3 4" xfId="52" xr:uid="{00000000-0005-0000-0000-00002C000000}"/>
    <cellStyle name="60% - Accent4 2" xfId="53" xr:uid="{00000000-0005-0000-0000-00002D000000}"/>
    <cellStyle name="60% - Accent4 3" xfId="54" xr:uid="{00000000-0005-0000-0000-00002E000000}"/>
    <cellStyle name="60% - Accent4 4" xfId="55" xr:uid="{00000000-0005-0000-0000-00002F000000}"/>
    <cellStyle name="60% - Accent5 2" xfId="56" xr:uid="{00000000-0005-0000-0000-000030000000}"/>
    <cellStyle name="60% - Accent5 3" xfId="57" xr:uid="{00000000-0005-0000-0000-000031000000}"/>
    <cellStyle name="60% - Accent5 4" xfId="58" xr:uid="{00000000-0005-0000-0000-000032000000}"/>
    <cellStyle name="60% - Accent6 2" xfId="59" xr:uid="{00000000-0005-0000-0000-000033000000}"/>
    <cellStyle name="60% - Accent6 3" xfId="60" xr:uid="{00000000-0005-0000-0000-000034000000}"/>
    <cellStyle name="60% - Accent6 4" xfId="61" xr:uid="{00000000-0005-0000-0000-000035000000}"/>
    <cellStyle name="Accent1 - 20%" xfId="62" xr:uid="{00000000-0005-0000-0000-000036000000}"/>
    <cellStyle name="Accent1 - 20% 2" xfId="63" xr:uid="{00000000-0005-0000-0000-000037000000}"/>
    <cellStyle name="Accent1 - 40%" xfId="64" xr:uid="{00000000-0005-0000-0000-000038000000}"/>
    <cellStyle name="Accent1 - 40% 2" xfId="65" xr:uid="{00000000-0005-0000-0000-000039000000}"/>
    <cellStyle name="Accent1 - 60%" xfId="66" xr:uid="{00000000-0005-0000-0000-00003A000000}"/>
    <cellStyle name="Accent1 - 60% 2" xfId="67" xr:uid="{00000000-0005-0000-0000-00003B000000}"/>
    <cellStyle name="Accent1 2" xfId="68" xr:uid="{00000000-0005-0000-0000-00003C000000}"/>
    <cellStyle name="Accent1 3" xfId="69" xr:uid="{00000000-0005-0000-0000-00003D000000}"/>
    <cellStyle name="Accent1 4" xfId="70" xr:uid="{00000000-0005-0000-0000-00003E000000}"/>
    <cellStyle name="Accent1 5" xfId="71" xr:uid="{00000000-0005-0000-0000-00003F000000}"/>
    <cellStyle name="Accent1 6" xfId="72" xr:uid="{00000000-0005-0000-0000-000040000000}"/>
    <cellStyle name="Accent1 7" xfId="73" xr:uid="{00000000-0005-0000-0000-000041000000}"/>
    <cellStyle name="Accent2 - 20%" xfId="74" xr:uid="{00000000-0005-0000-0000-000042000000}"/>
    <cellStyle name="Accent2 - 20% 2" xfId="75" xr:uid="{00000000-0005-0000-0000-000043000000}"/>
    <cellStyle name="Accent2 - 40%" xfId="76" xr:uid="{00000000-0005-0000-0000-000044000000}"/>
    <cellStyle name="Accent2 - 40% 2" xfId="77" xr:uid="{00000000-0005-0000-0000-000045000000}"/>
    <cellStyle name="Accent2 - 60%" xfId="78" xr:uid="{00000000-0005-0000-0000-000046000000}"/>
    <cellStyle name="Accent2 - 60% 2" xfId="79" xr:uid="{00000000-0005-0000-0000-000047000000}"/>
    <cellStyle name="Accent2 2" xfId="80" xr:uid="{00000000-0005-0000-0000-000048000000}"/>
    <cellStyle name="Accent2 3" xfId="81" xr:uid="{00000000-0005-0000-0000-000049000000}"/>
    <cellStyle name="Accent2 4" xfId="82" xr:uid="{00000000-0005-0000-0000-00004A000000}"/>
    <cellStyle name="Accent2 5" xfId="83" xr:uid="{00000000-0005-0000-0000-00004B000000}"/>
    <cellStyle name="Accent2 6" xfId="84" xr:uid="{00000000-0005-0000-0000-00004C000000}"/>
    <cellStyle name="Accent2 7" xfId="85" xr:uid="{00000000-0005-0000-0000-00004D000000}"/>
    <cellStyle name="Accent3 - 20%" xfId="86" xr:uid="{00000000-0005-0000-0000-00004E000000}"/>
    <cellStyle name="Accent3 - 20% 2" xfId="87" xr:uid="{00000000-0005-0000-0000-00004F000000}"/>
    <cellStyle name="Accent3 - 40%" xfId="88" xr:uid="{00000000-0005-0000-0000-000050000000}"/>
    <cellStyle name="Accent3 - 40% 2" xfId="89" xr:uid="{00000000-0005-0000-0000-000051000000}"/>
    <cellStyle name="Accent3 - 60%" xfId="90" xr:uid="{00000000-0005-0000-0000-000052000000}"/>
    <cellStyle name="Accent3 - 60% 2" xfId="91" xr:uid="{00000000-0005-0000-0000-000053000000}"/>
    <cellStyle name="Accent3 2" xfId="92" xr:uid="{00000000-0005-0000-0000-000054000000}"/>
    <cellStyle name="Accent3 2 2" xfId="93" xr:uid="{00000000-0005-0000-0000-000055000000}"/>
    <cellStyle name="Accent3 3" xfId="94" xr:uid="{00000000-0005-0000-0000-000056000000}"/>
    <cellStyle name="Accent3 3 2" xfId="95" xr:uid="{00000000-0005-0000-0000-000057000000}"/>
    <cellStyle name="Accent3 4" xfId="96" xr:uid="{00000000-0005-0000-0000-000058000000}"/>
    <cellStyle name="Accent3 4 2" xfId="97" xr:uid="{00000000-0005-0000-0000-000059000000}"/>
    <cellStyle name="Accent3 5" xfId="98" xr:uid="{00000000-0005-0000-0000-00005A000000}"/>
    <cellStyle name="Accent3 6" xfId="99" xr:uid="{00000000-0005-0000-0000-00005B000000}"/>
    <cellStyle name="Accent3 7" xfId="100" xr:uid="{00000000-0005-0000-0000-00005C000000}"/>
    <cellStyle name="Accent4 - 20%" xfId="101" xr:uid="{00000000-0005-0000-0000-00005D000000}"/>
    <cellStyle name="Accent4 - 20% 2" xfId="102" xr:uid="{00000000-0005-0000-0000-00005E000000}"/>
    <cellStyle name="Accent4 - 40%" xfId="103" xr:uid="{00000000-0005-0000-0000-00005F000000}"/>
    <cellStyle name="Accent4 - 40% 2" xfId="104" xr:uid="{00000000-0005-0000-0000-000060000000}"/>
    <cellStyle name="Accent4 - 60%" xfId="105" xr:uid="{00000000-0005-0000-0000-000061000000}"/>
    <cellStyle name="Accent4 - 60% 2" xfId="106" xr:uid="{00000000-0005-0000-0000-000062000000}"/>
    <cellStyle name="Accent4 2" xfId="107" xr:uid="{00000000-0005-0000-0000-000063000000}"/>
    <cellStyle name="Accent4 2 2" xfId="108" xr:uid="{00000000-0005-0000-0000-000064000000}"/>
    <cellStyle name="Accent4 3" xfId="109" xr:uid="{00000000-0005-0000-0000-000065000000}"/>
    <cellStyle name="Accent4 3 2" xfId="110" xr:uid="{00000000-0005-0000-0000-000066000000}"/>
    <cellStyle name="Accent4 4" xfId="111" xr:uid="{00000000-0005-0000-0000-000067000000}"/>
    <cellStyle name="Accent4 4 2" xfId="112" xr:uid="{00000000-0005-0000-0000-000068000000}"/>
    <cellStyle name="Accent4 5" xfId="113" xr:uid="{00000000-0005-0000-0000-000069000000}"/>
    <cellStyle name="Accent4 6" xfId="114" xr:uid="{00000000-0005-0000-0000-00006A000000}"/>
    <cellStyle name="Accent4 7" xfId="115" xr:uid="{00000000-0005-0000-0000-00006B000000}"/>
    <cellStyle name="Accent5 - 20%" xfId="116" xr:uid="{00000000-0005-0000-0000-00006C000000}"/>
    <cellStyle name="Accent5 - 20% 2" xfId="117" xr:uid="{00000000-0005-0000-0000-00006D000000}"/>
    <cellStyle name="Accent5 - 40%" xfId="118" xr:uid="{00000000-0005-0000-0000-00006E000000}"/>
    <cellStyle name="Accent5 - 60%" xfId="119" xr:uid="{00000000-0005-0000-0000-00006F000000}"/>
    <cellStyle name="Accent5 - 60% 2" xfId="120" xr:uid="{00000000-0005-0000-0000-000070000000}"/>
    <cellStyle name="Accent5 2" xfId="121" xr:uid="{00000000-0005-0000-0000-000071000000}"/>
    <cellStyle name="Accent5 2 2" xfId="122" xr:uid="{00000000-0005-0000-0000-000072000000}"/>
    <cellStyle name="Accent5 3" xfId="123" xr:uid="{00000000-0005-0000-0000-000073000000}"/>
    <cellStyle name="Accent5 3 2" xfId="124" xr:uid="{00000000-0005-0000-0000-000074000000}"/>
    <cellStyle name="Accent5 4" xfId="125" xr:uid="{00000000-0005-0000-0000-000075000000}"/>
    <cellStyle name="Accent5 4 2" xfId="126" xr:uid="{00000000-0005-0000-0000-000076000000}"/>
    <cellStyle name="Accent5 5" xfId="127" xr:uid="{00000000-0005-0000-0000-000077000000}"/>
    <cellStyle name="Accent5 6" xfId="128" xr:uid="{00000000-0005-0000-0000-000078000000}"/>
    <cellStyle name="Accent5 7" xfId="129" xr:uid="{00000000-0005-0000-0000-000079000000}"/>
    <cellStyle name="Accent6 - 20%" xfId="130" xr:uid="{00000000-0005-0000-0000-00007A000000}"/>
    <cellStyle name="Accent6 - 40%" xfId="131" xr:uid="{00000000-0005-0000-0000-00007B000000}"/>
    <cellStyle name="Accent6 - 40% 2" xfId="132" xr:uid="{00000000-0005-0000-0000-00007C000000}"/>
    <cellStyle name="Accent6 - 60%" xfId="133" xr:uid="{00000000-0005-0000-0000-00007D000000}"/>
    <cellStyle name="Accent6 - 60% 2" xfId="134" xr:uid="{00000000-0005-0000-0000-00007E000000}"/>
    <cellStyle name="Accent6 2" xfId="135" xr:uid="{00000000-0005-0000-0000-00007F000000}"/>
    <cellStyle name="Accent6 2 2" xfId="136" xr:uid="{00000000-0005-0000-0000-000080000000}"/>
    <cellStyle name="Accent6 3" xfId="137" xr:uid="{00000000-0005-0000-0000-000081000000}"/>
    <cellStyle name="Accent6 3 2" xfId="138" xr:uid="{00000000-0005-0000-0000-000082000000}"/>
    <cellStyle name="Accent6 4" xfId="139" xr:uid="{00000000-0005-0000-0000-000083000000}"/>
    <cellStyle name="Accent6 4 2" xfId="140" xr:uid="{00000000-0005-0000-0000-000084000000}"/>
    <cellStyle name="Accent6 5" xfId="141" xr:uid="{00000000-0005-0000-0000-000085000000}"/>
    <cellStyle name="Accent6 6" xfId="142" xr:uid="{00000000-0005-0000-0000-000086000000}"/>
    <cellStyle name="Accent6 7" xfId="143" xr:uid="{00000000-0005-0000-0000-000087000000}"/>
    <cellStyle name="Bad 2" xfId="144" xr:uid="{00000000-0005-0000-0000-000088000000}"/>
    <cellStyle name="Bad 2 2" xfId="145" xr:uid="{00000000-0005-0000-0000-000089000000}"/>
    <cellStyle name="Bad 3" xfId="146" xr:uid="{00000000-0005-0000-0000-00008A000000}"/>
    <cellStyle name="Calculation 2" xfId="147" xr:uid="{00000000-0005-0000-0000-00008B000000}"/>
    <cellStyle name="Calculation 2 2" xfId="148" xr:uid="{00000000-0005-0000-0000-00008C000000}"/>
    <cellStyle name="Calculation 3" xfId="149" xr:uid="{00000000-0005-0000-0000-00008D000000}"/>
    <cellStyle name="Check Cell 2" xfId="150" xr:uid="{00000000-0005-0000-0000-00008E000000}"/>
    <cellStyle name="Check Cell 2 2" xfId="151" xr:uid="{00000000-0005-0000-0000-00008F000000}"/>
    <cellStyle name="Check Cell 3" xfId="152" xr:uid="{00000000-0005-0000-0000-000090000000}"/>
    <cellStyle name="Comma" xfId="467" builtinId="3"/>
    <cellStyle name="Comma 2" xfId="153" xr:uid="{00000000-0005-0000-0000-000091000000}"/>
    <cellStyle name="Comma 2 2" xfId="154" xr:uid="{00000000-0005-0000-0000-000092000000}"/>
    <cellStyle name="Currency 2" xfId="155" xr:uid="{00000000-0005-0000-0000-000093000000}"/>
    <cellStyle name="Emphasis 1" xfId="156" xr:uid="{00000000-0005-0000-0000-000094000000}"/>
    <cellStyle name="Emphasis 1 2" xfId="157" xr:uid="{00000000-0005-0000-0000-000095000000}"/>
    <cellStyle name="Emphasis 2" xfId="158" xr:uid="{00000000-0005-0000-0000-000096000000}"/>
    <cellStyle name="Emphasis 2 2" xfId="159" xr:uid="{00000000-0005-0000-0000-000097000000}"/>
    <cellStyle name="Emphasis 3" xfId="160" xr:uid="{00000000-0005-0000-0000-000098000000}"/>
    <cellStyle name="Excel Built-in Normal" xfId="161" xr:uid="{00000000-0005-0000-0000-000099000000}"/>
    <cellStyle name="Excel Built-in Normal 2" xfId="466" xr:uid="{7ED76560-C5EE-4222-AC91-C68361F39636}"/>
    <cellStyle name="Explanatory Text 2" xfId="162" xr:uid="{00000000-0005-0000-0000-00009A000000}"/>
    <cellStyle name="Explanatory Text 3" xfId="163" xr:uid="{00000000-0005-0000-0000-00009B000000}"/>
    <cellStyle name="Explanatory Text 4" xfId="164" xr:uid="{00000000-0005-0000-0000-00009C000000}"/>
    <cellStyle name="Good 2" xfId="165" xr:uid="{00000000-0005-0000-0000-00009D000000}"/>
    <cellStyle name="Good 2 2" xfId="166" xr:uid="{00000000-0005-0000-0000-00009E000000}"/>
    <cellStyle name="Good 3" xfId="167" xr:uid="{00000000-0005-0000-0000-00009F000000}"/>
    <cellStyle name="Heading 1 2" xfId="168" xr:uid="{00000000-0005-0000-0000-0000A0000000}"/>
    <cellStyle name="Heading 2 2" xfId="169" xr:uid="{00000000-0005-0000-0000-0000A1000000}"/>
    <cellStyle name="Heading 2 2 2" xfId="170" xr:uid="{00000000-0005-0000-0000-0000A2000000}"/>
    <cellStyle name="Heading 2 3" xfId="171" xr:uid="{00000000-0005-0000-0000-0000A3000000}"/>
    <cellStyle name="Heading 3 2" xfId="172" xr:uid="{00000000-0005-0000-0000-0000A4000000}"/>
    <cellStyle name="Heading 3 2 2" xfId="173" xr:uid="{00000000-0005-0000-0000-0000A5000000}"/>
    <cellStyle name="Heading 3 3" xfId="174" xr:uid="{00000000-0005-0000-0000-0000A6000000}"/>
    <cellStyle name="Heading 4 2" xfId="175" xr:uid="{00000000-0005-0000-0000-0000A7000000}"/>
    <cellStyle name="Hyperlink" xfId="2" builtinId="8"/>
    <cellStyle name="Hyperlink 2" xfId="176" xr:uid="{00000000-0005-0000-0000-0000A9000000}"/>
    <cellStyle name="Hyperlink 2 2" xfId="177" xr:uid="{00000000-0005-0000-0000-0000AA000000}"/>
    <cellStyle name="Hyperlink 3" xfId="178" xr:uid="{00000000-0005-0000-0000-0000AB000000}"/>
    <cellStyle name="Hyperlink 4" xfId="179" xr:uid="{00000000-0005-0000-0000-0000AC000000}"/>
    <cellStyle name="Input 2" xfId="180" xr:uid="{00000000-0005-0000-0000-0000AD000000}"/>
    <cellStyle name="Input 2 2" xfId="181" xr:uid="{00000000-0005-0000-0000-0000AE000000}"/>
    <cellStyle name="Input 3" xfId="182" xr:uid="{00000000-0005-0000-0000-0000AF000000}"/>
    <cellStyle name="Komats 2" xfId="469" xr:uid="{4336E3BF-AF96-4DF7-87D8-24EBF206644B}"/>
    <cellStyle name="Komats 3" xfId="470" xr:uid="{490AA7AF-A019-431D-A9C4-4FF21AE154E4}"/>
    <cellStyle name="Linked Cell 2" xfId="183" xr:uid="{00000000-0005-0000-0000-0000B0000000}"/>
    <cellStyle name="Linked Cell 2 2" xfId="184" xr:uid="{00000000-0005-0000-0000-0000B1000000}"/>
    <cellStyle name="Linked Cell 3" xfId="185" xr:uid="{00000000-0005-0000-0000-0000B2000000}"/>
    <cellStyle name="Neutral 2" xfId="186" xr:uid="{00000000-0005-0000-0000-0000B3000000}"/>
    <cellStyle name="Neutral 2 2" xfId="187" xr:uid="{00000000-0005-0000-0000-0000B4000000}"/>
    <cellStyle name="Neutral 3" xfId="188" xr:uid="{00000000-0005-0000-0000-0000B5000000}"/>
    <cellStyle name="Normal" xfId="0" builtinId="0"/>
    <cellStyle name="Normal 10" xfId="5" xr:uid="{00000000-0005-0000-0000-0000B7000000}"/>
    <cellStyle name="Normal 10 2" xfId="189" xr:uid="{00000000-0005-0000-0000-0000B8000000}"/>
    <cellStyle name="Normal 10 2 2" xfId="190" xr:uid="{00000000-0005-0000-0000-0000B9000000}"/>
    <cellStyle name="Normal 10 3" xfId="191" xr:uid="{00000000-0005-0000-0000-0000BA000000}"/>
    <cellStyle name="Normal 11" xfId="192" xr:uid="{00000000-0005-0000-0000-0000BB000000}"/>
    <cellStyle name="Normal 11 2" xfId="193" xr:uid="{00000000-0005-0000-0000-0000BC000000}"/>
    <cellStyle name="Normal 11 2 2" xfId="194" xr:uid="{00000000-0005-0000-0000-0000BD000000}"/>
    <cellStyle name="Normal 11 3" xfId="195" xr:uid="{00000000-0005-0000-0000-0000BE000000}"/>
    <cellStyle name="Normal 12" xfId="196" xr:uid="{00000000-0005-0000-0000-0000BF000000}"/>
    <cellStyle name="Normal 12 2" xfId="197" xr:uid="{00000000-0005-0000-0000-0000C0000000}"/>
    <cellStyle name="Normal 12 2 2" xfId="198" xr:uid="{00000000-0005-0000-0000-0000C1000000}"/>
    <cellStyle name="Normal 12 3" xfId="199" xr:uid="{00000000-0005-0000-0000-0000C2000000}"/>
    <cellStyle name="Normal 13" xfId="200" xr:uid="{00000000-0005-0000-0000-0000C3000000}"/>
    <cellStyle name="Normal 13 2" xfId="201" xr:uid="{00000000-0005-0000-0000-0000C4000000}"/>
    <cellStyle name="Normal 13 2 2" xfId="202" xr:uid="{00000000-0005-0000-0000-0000C5000000}"/>
    <cellStyle name="Normal 13 3" xfId="203" xr:uid="{00000000-0005-0000-0000-0000C6000000}"/>
    <cellStyle name="Normal 14" xfId="204" xr:uid="{00000000-0005-0000-0000-0000C7000000}"/>
    <cellStyle name="Normal 14 2" xfId="205" xr:uid="{00000000-0005-0000-0000-0000C8000000}"/>
    <cellStyle name="Normal 14 2 2" xfId="206" xr:uid="{00000000-0005-0000-0000-0000C9000000}"/>
    <cellStyle name="Normal 14 3" xfId="207" xr:uid="{00000000-0005-0000-0000-0000CA000000}"/>
    <cellStyle name="Normal 15" xfId="208" xr:uid="{00000000-0005-0000-0000-0000CB000000}"/>
    <cellStyle name="Normal 15 2" xfId="209" xr:uid="{00000000-0005-0000-0000-0000CC000000}"/>
    <cellStyle name="Normal 15 2 2" xfId="210" xr:uid="{00000000-0005-0000-0000-0000CD000000}"/>
    <cellStyle name="Normal 15 3" xfId="211" xr:uid="{00000000-0005-0000-0000-0000CE000000}"/>
    <cellStyle name="Normal 16" xfId="212" xr:uid="{00000000-0005-0000-0000-0000CF000000}"/>
    <cellStyle name="Normal 16 2" xfId="213" xr:uid="{00000000-0005-0000-0000-0000D0000000}"/>
    <cellStyle name="Normal 16 2 2" xfId="214" xr:uid="{00000000-0005-0000-0000-0000D1000000}"/>
    <cellStyle name="Normal 16 3" xfId="215" xr:uid="{00000000-0005-0000-0000-0000D2000000}"/>
    <cellStyle name="Normal 17" xfId="216" xr:uid="{00000000-0005-0000-0000-0000D3000000}"/>
    <cellStyle name="Normal 18" xfId="217" xr:uid="{00000000-0005-0000-0000-0000D4000000}"/>
    <cellStyle name="Normal 18 2" xfId="218" xr:uid="{00000000-0005-0000-0000-0000D5000000}"/>
    <cellStyle name="Normal 19" xfId="219" xr:uid="{00000000-0005-0000-0000-0000D6000000}"/>
    <cellStyle name="Normal 2" xfId="1" xr:uid="{00000000-0005-0000-0000-0000D7000000}"/>
    <cellStyle name="Normal 2 2" xfId="221" xr:uid="{00000000-0005-0000-0000-0000D8000000}"/>
    <cellStyle name="Normal 2 2 2" xfId="222" xr:uid="{00000000-0005-0000-0000-0000D9000000}"/>
    <cellStyle name="Normal 2 3" xfId="223" xr:uid="{00000000-0005-0000-0000-0000DA000000}"/>
    <cellStyle name="Normal 2 3 2" xfId="224" xr:uid="{00000000-0005-0000-0000-0000DB000000}"/>
    <cellStyle name="Normal 2 4" xfId="220" xr:uid="{00000000-0005-0000-0000-0000DC000000}"/>
    <cellStyle name="Normal 2 4 2" xfId="463" xr:uid="{00000000-0005-0000-0000-0000DD000000}"/>
    <cellStyle name="Normal 20" xfId="225" xr:uid="{00000000-0005-0000-0000-0000DE000000}"/>
    <cellStyle name="Normal 20 2" xfId="226" xr:uid="{00000000-0005-0000-0000-0000DF000000}"/>
    <cellStyle name="Normal 20 2 2" xfId="227" xr:uid="{00000000-0005-0000-0000-0000E0000000}"/>
    <cellStyle name="Normal 20 3" xfId="228" xr:uid="{00000000-0005-0000-0000-0000E1000000}"/>
    <cellStyle name="Normal 21" xfId="229" xr:uid="{00000000-0005-0000-0000-0000E2000000}"/>
    <cellStyle name="Normal 21 2" xfId="230" xr:uid="{00000000-0005-0000-0000-0000E3000000}"/>
    <cellStyle name="Normal 21 2 2" xfId="231" xr:uid="{00000000-0005-0000-0000-0000E4000000}"/>
    <cellStyle name="Normal 21 3" xfId="232" xr:uid="{00000000-0005-0000-0000-0000E5000000}"/>
    <cellStyle name="Normal 22" xfId="233" xr:uid="{00000000-0005-0000-0000-0000E6000000}"/>
    <cellStyle name="Normal 23" xfId="234" xr:uid="{00000000-0005-0000-0000-0000E7000000}"/>
    <cellStyle name="Normal 24" xfId="235" xr:uid="{00000000-0005-0000-0000-0000E8000000}"/>
    <cellStyle name="Normal 25" xfId="236" xr:uid="{00000000-0005-0000-0000-0000E9000000}"/>
    <cellStyle name="Normal 26" xfId="237" xr:uid="{00000000-0005-0000-0000-0000EA000000}"/>
    <cellStyle name="Normal 27" xfId="6" xr:uid="{00000000-0005-0000-0000-0000EB000000}"/>
    <cellStyle name="Normal 27 2" xfId="471" xr:uid="{6BDC6FC3-1E47-4DFD-9CE0-A44A15151707}"/>
    <cellStyle name="Normal 28" xfId="238" xr:uid="{00000000-0005-0000-0000-0000EC000000}"/>
    <cellStyle name="Normal 28 2" xfId="472" xr:uid="{77AEE896-1199-4251-8C28-74B13F30F2D8}"/>
    <cellStyle name="Normal 29" xfId="239" xr:uid="{00000000-0005-0000-0000-0000ED000000}"/>
    <cellStyle name="Normal 29 2" xfId="473" xr:uid="{309E9F13-C301-4EC2-9195-C6F51A1E7754}"/>
    <cellStyle name="Normal 3" xfId="240" xr:uid="{00000000-0005-0000-0000-0000EE000000}"/>
    <cellStyle name="Normal 3 2" xfId="241" xr:uid="{00000000-0005-0000-0000-0000EF000000}"/>
    <cellStyle name="Normal 30" xfId="242" xr:uid="{00000000-0005-0000-0000-0000F0000000}"/>
    <cellStyle name="Normal 31" xfId="7" xr:uid="{00000000-0005-0000-0000-0000F1000000}"/>
    <cellStyle name="Normal 31 2" xfId="464" xr:uid="{00000000-0005-0000-0000-0000F2000000}"/>
    <cellStyle name="Normal 32" xfId="465" xr:uid="{00000000-0005-0000-0000-000000020000}"/>
    <cellStyle name="Normal 4" xfId="243" xr:uid="{00000000-0005-0000-0000-0000F3000000}"/>
    <cellStyle name="Normal 4 2" xfId="244" xr:uid="{00000000-0005-0000-0000-0000F4000000}"/>
    <cellStyle name="Normal 5" xfId="245" xr:uid="{00000000-0005-0000-0000-0000F5000000}"/>
    <cellStyle name="Normal 5 2" xfId="246" xr:uid="{00000000-0005-0000-0000-0000F6000000}"/>
    <cellStyle name="Normal 5 2 2" xfId="247" xr:uid="{00000000-0005-0000-0000-0000F7000000}"/>
    <cellStyle name="Normal 5 3" xfId="248" xr:uid="{00000000-0005-0000-0000-0000F8000000}"/>
    <cellStyle name="Normal 6" xfId="3" xr:uid="{00000000-0005-0000-0000-0000F9000000}"/>
    <cellStyle name="Normal 6 2" xfId="249" xr:uid="{00000000-0005-0000-0000-0000FA000000}"/>
    <cellStyle name="Normal 7" xfId="250" xr:uid="{00000000-0005-0000-0000-0000FB000000}"/>
    <cellStyle name="Normal 8" xfId="251" xr:uid="{00000000-0005-0000-0000-0000FC000000}"/>
    <cellStyle name="Normal 8 2" xfId="252" xr:uid="{00000000-0005-0000-0000-0000FD000000}"/>
    <cellStyle name="Normal 8 2 2" xfId="253" xr:uid="{00000000-0005-0000-0000-0000FE000000}"/>
    <cellStyle name="Normal 8 3" xfId="254" xr:uid="{00000000-0005-0000-0000-0000FF000000}"/>
    <cellStyle name="Normal 9" xfId="255" xr:uid="{00000000-0005-0000-0000-000000010000}"/>
    <cellStyle name="Normal 9 2" xfId="256" xr:uid="{00000000-0005-0000-0000-000001010000}"/>
    <cellStyle name="Normal 9 2 2" xfId="257" xr:uid="{00000000-0005-0000-0000-000002010000}"/>
    <cellStyle name="Normal 9 3" xfId="258" xr:uid="{00000000-0005-0000-0000-000003010000}"/>
    <cellStyle name="Note 2" xfId="259" xr:uid="{00000000-0005-0000-0000-000004010000}"/>
    <cellStyle name="Note 2 2" xfId="260" xr:uid="{00000000-0005-0000-0000-000005010000}"/>
    <cellStyle name="Note 3" xfId="261" xr:uid="{00000000-0005-0000-0000-000006010000}"/>
    <cellStyle name="Output 2" xfId="262" xr:uid="{00000000-0005-0000-0000-000007010000}"/>
    <cellStyle name="Output 2 2" xfId="263" xr:uid="{00000000-0005-0000-0000-000008010000}"/>
    <cellStyle name="Output 3" xfId="264" xr:uid="{00000000-0005-0000-0000-000009010000}"/>
    <cellStyle name="Parastais_FMLikp01_p05_221205_pap_afp_makp" xfId="265" xr:uid="{00000000-0005-0000-0000-00000A010000}"/>
    <cellStyle name="Parasts 2" xfId="468" xr:uid="{698EB71F-9D57-4D33-9DF4-00D3C14511CF}"/>
    <cellStyle name="Percent" xfId="474" builtinId="5"/>
    <cellStyle name="Percent 2" xfId="266" xr:uid="{00000000-0005-0000-0000-00000B010000}"/>
    <cellStyle name="Percent 3" xfId="267" xr:uid="{00000000-0005-0000-0000-00000C010000}"/>
    <cellStyle name="SAPBEXaggData" xfId="268" xr:uid="{00000000-0005-0000-0000-00000D010000}"/>
    <cellStyle name="SAPBEXaggData 2" xfId="269" xr:uid="{00000000-0005-0000-0000-00000E010000}"/>
    <cellStyle name="SAPBEXaggData 2 2" xfId="270" xr:uid="{00000000-0005-0000-0000-00000F010000}"/>
    <cellStyle name="SAPBEXaggData 3" xfId="271" xr:uid="{00000000-0005-0000-0000-000010010000}"/>
    <cellStyle name="SAPBEXaggData 4" xfId="272" xr:uid="{00000000-0005-0000-0000-000011010000}"/>
    <cellStyle name="SAPBEXaggDataEmph" xfId="273" xr:uid="{00000000-0005-0000-0000-000012010000}"/>
    <cellStyle name="SAPBEXaggDataEmph 2" xfId="274" xr:uid="{00000000-0005-0000-0000-000013010000}"/>
    <cellStyle name="SAPBEXaggDataEmph 2 2" xfId="275" xr:uid="{00000000-0005-0000-0000-000014010000}"/>
    <cellStyle name="SAPBEXaggDataEmph 3" xfId="276" xr:uid="{00000000-0005-0000-0000-000015010000}"/>
    <cellStyle name="SAPBEXaggDataEmph 4" xfId="277" xr:uid="{00000000-0005-0000-0000-000016010000}"/>
    <cellStyle name="SAPBEXaggItem" xfId="278" xr:uid="{00000000-0005-0000-0000-000017010000}"/>
    <cellStyle name="SAPBEXaggItem 2" xfId="279" xr:uid="{00000000-0005-0000-0000-000018010000}"/>
    <cellStyle name="SAPBEXaggItem 2 2" xfId="280" xr:uid="{00000000-0005-0000-0000-000019010000}"/>
    <cellStyle name="SAPBEXaggItem 3" xfId="281" xr:uid="{00000000-0005-0000-0000-00001A010000}"/>
    <cellStyle name="SAPBEXaggItem 4" xfId="282" xr:uid="{00000000-0005-0000-0000-00001B010000}"/>
    <cellStyle name="SAPBEXaggItemX" xfId="283" xr:uid="{00000000-0005-0000-0000-00001C010000}"/>
    <cellStyle name="SAPBEXaggItemX 2" xfId="284" xr:uid="{00000000-0005-0000-0000-00001D010000}"/>
    <cellStyle name="SAPBEXaggItemX 2 2" xfId="285" xr:uid="{00000000-0005-0000-0000-00001E010000}"/>
    <cellStyle name="SAPBEXaggItemX 3" xfId="286" xr:uid="{00000000-0005-0000-0000-00001F010000}"/>
    <cellStyle name="SAPBEXchaText" xfId="287" xr:uid="{00000000-0005-0000-0000-000020010000}"/>
    <cellStyle name="SAPBEXchaText 2" xfId="288" xr:uid="{00000000-0005-0000-0000-000021010000}"/>
    <cellStyle name="SAPBEXchaText 2 2" xfId="289" xr:uid="{00000000-0005-0000-0000-000022010000}"/>
    <cellStyle name="SAPBEXchaText 3" xfId="290" xr:uid="{00000000-0005-0000-0000-000023010000}"/>
    <cellStyle name="SAPBEXchaText 4" xfId="291" xr:uid="{00000000-0005-0000-0000-000024010000}"/>
    <cellStyle name="SAPBEXexcBad7" xfId="292" xr:uid="{00000000-0005-0000-0000-000025010000}"/>
    <cellStyle name="SAPBEXexcBad7 2" xfId="293" xr:uid="{00000000-0005-0000-0000-000026010000}"/>
    <cellStyle name="SAPBEXexcBad7 2 2" xfId="294" xr:uid="{00000000-0005-0000-0000-000027010000}"/>
    <cellStyle name="SAPBEXexcBad7 3" xfId="295" xr:uid="{00000000-0005-0000-0000-000028010000}"/>
    <cellStyle name="SAPBEXexcBad7 4" xfId="296" xr:uid="{00000000-0005-0000-0000-000029010000}"/>
    <cellStyle name="SAPBEXexcBad8" xfId="297" xr:uid="{00000000-0005-0000-0000-00002A010000}"/>
    <cellStyle name="SAPBEXexcBad8 2" xfId="298" xr:uid="{00000000-0005-0000-0000-00002B010000}"/>
    <cellStyle name="SAPBEXexcBad8 2 2" xfId="299" xr:uid="{00000000-0005-0000-0000-00002C010000}"/>
    <cellStyle name="SAPBEXexcBad8 3" xfId="300" xr:uid="{00000000-0005-0000-0000-00002D010000}"/>
    <cellStyle name="SAPBEXexcBad8 4" xfId="301" xr:uid="{00000000-0005-0000-0000-00002E010000}"/>
    <cellStyle name="SAPBEXexcBad9" xfId="302" xr:uid="{00000000-0005-0000-0000-00002F010000}"/>
    <cellStyle name="SAPBEXexcBad9 2" xfId="303" xr:uid="{00000000-0005-0000-0000-000030010000}"/>
    <cellStyle name="SAPBEXexcBad9 2 2" xfId="304" xr:uid="{00000000-0005-0000-0000-000031010000}"/>
    <cellStyle name="SAPBEXexcBad9 3" xfId="305" xr:uid="{00000000-0005-0000-0000-000032010000}"/>
    <cellStyle name="SAPBEXexcBad9 4" xfId="306" xr:uid="{00000000-0005-0000-0000-000033010000}"/>
    <cellStyle name="SAPBEXexcCritical4" xfId="307" xr:uid="{00000000-0005-0000-0000-000034010000}"/>
    <cellStyle name="SAPBEXexcCritical4 2" xfId="308" xr:uid="{00000000-0005-0000-0000-000035010000}"/>
    <cellStyle name="SAPBEXexcCritical4 2 2" xfId="309" xr:uid="{00000000-0005-0000-0000-000036010000}"/>
    <cellStyle name="SAPBEXexcCritical4 3" xfId="310" xr:uid="{00000000-0005-0000-0000-000037010000}"/>
    <cellStyle name="SAPBEXexcCritical4 4" xfId="311" xr:uid="{00000000-0005-0000-0000-000038010000}"/>
    <cellStyle name="SAPBEXexcCritical5" xfId="312" xr:uid="{00000000-0005-0000-0000-000039010000}"/>
    <cellStyle name="SAPBEXexcCritical5 2" xfId="313" xr:uid="{00000000-0005-0000-0000-00003A010000}"/>
    <cellStyle name="SAPBEXexcCritical5 2 2" xfId="314" xr:uid="{00000000-0005-0000-0000-00003B010000}"/>
    <cellStyle name="SAPBEXexcCritical5 3" xfId="315" xr:uid="{00000000-0005-0000-0000-00003C010000}"/>
    <cellStyle name="SAPBEXexcCritical5 4" xfId="316" xr:uid="{00000000-0005-0000-0000-00003D010000}"/>
    <cellStyle name="SAPBEXexcCritical6" xfId="317" xr:uid="{00000000-0005-0000-0000-00003E010000}"/>
    <cellStyle name="SAPBEXexcCritical6 2" xfId="318" xr:uid="{00000000-0005-0000-0000-00003F010000}"/>
    <cellStyle name="SAPBEXexcCritical6 2 2" xfId="319" xr:uid="{00000000-0005-0000-0000-000040010000}"/>
    <cellStyle name="SAPBEXexcCritical6 3" xfId="320" xr:uid="{00000000-0005-0000-0000-000041010000}"/>
    <cellStyle name="SAPBEXexcCritical6 4" xfId="321" xr:uid="{00000000-0005-0000-0000-000042010000}"/>
    <cellStyle name="SAPBEXexcGood1" xfId="322" xr:uid="{00000000-0005-0000-0000-000043010000}"/>
    <cellStyle name="SAPBEXexcGood1 2" xfId="323" xr:uid="{00000000-0005-0000-0000-000044010000}"/>
    <cellStyle name="SAPBEXexcGood1 2 2" xfId="324" xr:uid="{00000000-0005-0000-0000-000045010000}"/>
    <cellStyle name="SAPBEXexcGood1 3" xfId="325" xr:uid="{00000000-0005-0000-0000-000046010000}"/>
    <cellStyle name="SAPBEXexcGood1 4" xfId="326" xr:uid="{00000000-0005-0000-0000-000047010000}"/>
    <cellStyle name="SAPBEXexcGood2" xfId="327" xr:uid="{00000000-0005-0000-0000-000048010000}"/>
    <cellStyle name="SAPBEXexcGood2 2" xfId="328" xr:uid="{00000000-0005-0000-0000-000049010000}"/>
    <cellStyle name="SAPBEXexcGood2 2 2" xfId="329" xr:uid="{00000000-0005-0000-0000-00004A010000}"/>
    <cellStyle name="SAPBEXexcGood2 3" xfId="330" xr:uid="{00000000-0005-0000-0000-00004B010000}"/>
    <cellStyle name="SAPBEXexcGood2 4" xfId="331" xr:uid="{00000000-0005-0000-0000-00004C010000}"/>
    <cellStyle name="SAPBEXexcGood3" xfId="332" xr:uid="{00000000-0005-0000-0000-00004D010000}"/>
    <cellStyle name="SAPBEXexcGood3 2" xfId="333" xr:uid="{00000000-0005-0000-0000-00004E010000}"/>
    <cellStyle name="SAPBEXexcGood3 2 2" xfId="334" xr:uid="{00000000-0005-0000-0000-00004F010000}"/>
    <cellStyle name="SAPBEXexcGood3 3" xfId="335" xr:uid="{00000000-0005-0000-0000-000050010000}"/>
    <cellStyle name="SAPBEXexcGood3 4" xfId="336" xr:uid="{00000000-0005-0000-0000-000051010000}"/>
    <cellStyle name="SAPBEXfilterDrill" xfId="337" xr:uid="{00000000-0005-0000-0000-000052010000}"/>
    <cellStyle name="SAPBEXfilterDrill 2" xfId="338" xr:uid="{00000000-0005-0000-0000-000053010000}"/>
    <cellStyle name="SAPBEXfilterDrill 2 2" xfId="339" xr:uid="{00000000-0005-0000-0000-000054010000}"/>
    <cellStyle name="SAPBEXfilterDrill 3" xfId="340" xr:uid="{00000000-0005-0000-0000-000055010000}"/>
    <cellStyle name="SAPBEXfilterDrill 4" xfId="341" xr:uid="{00000000-0005-0000-0000-000056010000}"/>
    <cellStyle name="SAPBEXfilterItem" xfId="342" xr:uid="{00000000-0005-0000-0000-000057010000}"/>
    <cellStyle name="SAPBEXfilterItem 2" xfId="343" xr:uid="{00000000-0005-0000-0000-000058010000}"/>
    <cellStyle name="SAPBEXfilterItem 2 2" xfId="344" xr:uid="{00000000-0005-0000-0000-000059010000}"/>
    <cellStyle name="SAPBEXfilterItem 3" xfId="345" xr:uid="{00000000-0005-0000-0000-00005A010000}"/>
    <cellStyle name="SAPBEXfilterItem 4" xfId="346" xr:uid="{00000000-0005-0000-0000-00005B010000}"/>
    <cellStyle name="SAPBEXfilterText" xfId="347" xr:uid="{00000000-0005-0000-0000-00005C010000}"/>
    <cellStyle name="SAPBEXfilterText 2" xfId="348" xr:uid="{00000000-0005-0000-0000-00005D010000}"/>
    <cellStyle name="SAPBEXfilterText 2 2" xfId="349" xr:uid="{00000000-0005-0000-0000-00005E010000}"/>
    <cellStyle name="SAPBEXfilterText 3" xfId="350" xr:uid="{00000000-0005-0000-0000-00005F010000}"/>
    <cellStyle name="SAPBEXfilterText 4" xfId="351" xr:uid="{00000000-0005-0000-0000-000060010000}"/>
    <cellStyle name="SAPBEXformats" xfId="352" xr:uid="{00000000-0005-0000-0000-000061010000}"/>
    <cellStyle name="SAPBEXformats 2" xfId="353" xr:uid="{00000000-0005-0000-0000-000062010000}"/>
    <cellStyle name="SAPBEXformats 2 2" xfId="354" xr:uid="{00000000-0005-0000-0000-000063010000}"/>
    <cellStyle name="SAPBEXformats 3" xfId="355" xr:uid="{00000000-0005-0000-0000-000064010000}"/>
    <cellStyle name="SAPBEXformats 4" xfId="356" xr:uid="{00000000-0005-0000-0000-000065010000}"/>
    <cellStyle name="SAPBEXheaderItem" xfId="357" xr:uid="{00000000-0005-0000-0000-000066010000}"/>
    <cellStyle name="SAPBEXheaderItem 2" xfId="358" xr:uid="{00000000-0005-0000-0000-000067010000}"/>
    <cellStyle name="SAPBEXheaderItem 2 2" xfId="359" xr:uid="{00000000-0005-0000-0000-000068010000}"/>
    <cellStyle name="SAPBEXheaderItem 3" xfId="360" xr:uid="{00000000-0005-0000-0000-000069010000}"/>
    <cellStyle name="SAPBEXheaderItem 4" xfId="361" xr:uid="{00000000-0005-0000-0000-00006A010000}"/>
    <cellStyle name="SAPBEXheaderText" xfId="362" xr:uid="{00000000-0005-0000-0000-00006B010000}"/>
    <cellStyle name="SAPBEXheaderText 2" xfId="363" xr:uid="{00000000-0005-0000-0000-00006C010000}"/>
    <cellStyle name="SAPBEXheaderText 2 2" xfId="364" xr:uid="{00000000-0005-0000-0000-00006D010000}"/>
    <cellStyle name="SAPBEXheaderText 3" xfId="365" xr:uid="{00000000-0005-0000-0000-00006E010000}"/>
    <cellStyle name="SAPBEXheaderText 4" xfId="366" xr:uid="{00000000-0005-0000-0000-00006F010000}"/>
    <cellStyle name="SAPBEXHLevel0" xfId="367" xr:uid="{00000000-0005-0000-0000-000070010000}"/>
    <cellStyle name="SAPBEXHLevel0 2" xfId="368" xr:uid="{00000000-0005-0000-0000-000071010000}"/>
    <cellStyle name="SAPBEXHLevel0 2 2" xfId="369" xr:uid="{00000000-0005-0000-0000-000072010000}"/>
    <cellStyle name="SAPBEXHLevel0 3" xfId="370" xr:uid="{00000000-0005-0000-0000-000073010000}"/>
    <cellStyle name="SAPBEXHLevel0 4" xfId="371" xr:uid="{00000000-0005-0000-0000-000074010000}"/>
    <cellStyle name="SAPBEXHLevel0X" xfId="372" xr:uid="{00000000-0005-0000-0000-000075010000}"/>
    <cellStyle name="SAPBEXHLevel0X 2" xfId="373" xr:uid="{00000000-0005-0000-0000-000076010000}"/>
    <cellStyle name="SAPBEXHLevel0X 2 2" xfId="374" xr:uid="{00000000-0005-0000-0000-000077010000}"/>
    <cellStyle name="SAPBEXHLevel0X 3" xfId="375" xr:uid="{00000000-0005-0000-0000-000078010000}"/>
    <cellStyle name="SAPBEXHLevel1" xfId="376" xr:uid="{00000000-0005-0000-0000-000079010000}"/>
    <cellStyle name="SAPBEXHLevel1 2" xfId="377" xr:uid="{00000000-0005-0000-0000-00007A010000}"/>
    <cellStyle name="SAPBEXHLevel1 2 2" xfId="378" xr:uid="{00000000-0005-0000-0000-00007B010000}"/>
    <cellStyle name="SAPBEXHLevel1 3" xfId="379" xr:uid="{00000000-0005-0000-0000-00007C010000}"/>
    <cellStyle name="SAPBEXHLevel1 4" xfId="380" xr:uid="{00000000-0005-0000-0000-00007D010000}"/>
    <cellStyle name="SAPBEXHLevel1X" xfId="381" xr:uid="{00000000-0005-0000-0000-00007E010000}"/>
    <cellStyle name="SAPBEXHLevel1X 2" xfId="382" xr:uid="{00000000-0005-0000-0000-00007F010000}"/>
    <cellStyle name="SAPBEXHLevel1X 2 2" xfId="383" xr:uid="{00000000-0005-0000-0000-000080010000}"/>
    <cellStyle name="SAPBEXHLevel1X 3" xfId="384" xr:uid="{00000000-0005-0000-0000-000081010000}"/>
    <cellStyle name="SAPBEXHLevel2" xfId="385" xr:uid="{00000000-0005-0000-0000-000082010000}"/>
    <cellStyle name="SAPBEXHLevel2 2" xfId="386" xr:uid="{00000000-0005-0000-0000-000083010000}"/>
    <cellStyle name="SAPBEXHLevel2 2 2" xfId="387" xr:uid="{00000000-0005-0000-0000-000084010000}"/>
    <cellStyle name="SAPBEXHLevel2 3" xfId="388" xr:uid="{00000000-0005-0000-0000-000085010000}"/>
    <cellStyle name="SAPBEXHLevel2 4" xfId="389" xr:uid="{00000000-0005-0000-0000-000086010000}"/>
    <cellStyle name="SAPBEXHLevel2 4 2" xfId="390" xr:uid="{00000000-0005-0000-0000-000087010000}"/>
    <cellStyle name="SAPBEXHLevel2X" xfId="391" xr:uid="{00000000-0005-0000-0000-000088010000}"/>
    <cellStyle name="SAPBEXHLevel2X 2" xfId="392" xr:uid="{00000000-0005-0000-0000-000089010000}"/>
    <cellStyle name="SAPBEXHLevel2X 2 2" xfId="393" xr:uid="{00000000-0005-0000-0000-00008A010000}"/>
    <cellStyle name="SAPBEXHLevel2X 3" xfId="394" xr:uid="{00000000-0005-0000-0000-00008B010000}"/>
    <cellStyle name="SAPBEXHLevel3" xfId="395" xr:uid="{00000000-0005-0000-0000-00008C010000}"/>
    <cellStyle name="SAPBEXHLevel3 2" xfId="396" xr:uid="{00000000-0005-0000-0000-00008D010000}"/>
    <cellStyle name="SAPBEXHLevel3 2 2" xfId="397" xr:uid="{00000000-0005-0000-0000-00008E010000}"/>
    <cellStyle name="SAPBEXHLevel3 3" xfId="398" xr:uid="{00000000-0005-0000-0000-00008F010000}"/>
    <cellStyle name="SAPBEXHLevel3 4" xfId="399" xr:uid="{00000000-0005-0000-0000-000090010000}"/>
    <cellStyle name="SAPBEXHLevel3X" xfId="400" xr:uid="{00000000-0005-0000-0000-000091010000}"/>
    <cellStyle name="SAPBEXHLevel3X 2" xfId="401" xr:uid="{00000000-0005-0000-0000-000092010000}"/>
    <cellStyle name="SAPBEXHLevel3X 2 2" xfId="402" xr:uid="{00000000-0005-0000-0000-000093010000}"/>
    <cellStyle name="SAPBEXHLevel3X 3" xfId="403" xr:uid="{00000000-0005-0000-0000-000094010000}"/>
    <cellStyle name="SAPBEXinputData" xfId="404" xr:uid="{00000000-0005-0000-0000-000095010000}"/>
    <cellStyle name="SAPBEXinputData 2" xfId="405" xr:uid="{00000000-0005-0000-0000-000096010000}"/>
    <cellStyle name="SAPBEXinputData 2 2" xfId="406" xr:uid="{00000000-0005-0000-0000-000097010000}"/>
    <cellStyle name="SAPBEXinputData 3" xfId="407" xr:uid="{00000000-0005-0000-0000-000098010000}"/>
    <cellStyle name="SAPBEXItemHeader" xfId="408" xr:uid="{00000000-0005-0000-0000-000099010000}"/>
    <cellStyle name="SAPBEXresData" xfId="409" xr:uid="{00000000-0005-0000-0000-00009A010000}"/>
    <cellStyle name="SAPBEXresData 2" xfId="410" xr:uid="{00000000-0005-0000-0000-00009B010000}"/>
    <cellStyle name="SAPBEXresData 2 2" xfId="411" xr:uid="{00000000-0005-0000-0000-00009C010000}"/>
    <cellStyle name="SAPBEXresData 3" xfId="412" xr:uid="{00000000-0005-0000-0000-00009D010000}"/>
    <cellStyle name="SAPBEXresDataEmph" xfId="413" xr:uid="{00000000-0005-0000-0000-00009E010000}"/>
    <cellStyle name="SAPBEXresDataEmph 2" xfId="414" xr:uid="{00000000-0005-0000-0000-00009F010000}"/>
    <cellStyle name="SAPBEXresDataEmph 2 2" xfId="415" xr:uid="{00000000-0005-0000-0000-0000A0010000}"/>
    <cellStyle name="SAPBEXresDataEmph 3" xfId="416" xr:uid="{00000000-0005-0000-0000-0000A1010000}"/>
    <cellStyle name="SAPBEXresDataEmph 4" xfId="417" xr:uid="{00000000-0005-0000-0000-0000A2010000}"/>
    <cellStyle name="SAPBEXresItem" xfId="418" xr:uid="{00000000-0005-0000-0000-0000A3010000}"/>
    <cellStyle name="SAPBEXresItem 2" xfId="419" xr:uid="{00000000-0005-0000-0000-0000A4010000}"/>
    <cellStyle name="SAPBEXresItem 2 2" xfId="420" xr:uid="{00000000-0005-0000-0000-0000A5010000}"/>
    <cellStyle name="SAPBEXresItem 3" xfId="421" xr:uid="{00000000-0005-0000-0000-0000A6010000}"/>
    <cellStyle name="SAPBEXresItemX" xfId="422" xr:uid="{00000000-0005-0000-0000-0000A7010000}"/>
    <cellStyle name="SAPBEXresItemX 2" xfId="423" xr:uid="{00000000-0005-0000-0000-0000A8010000}"/>
    <cellStyle name="SAPBEXresItemX 2 2" xfId="424" xr:uid="{00000000-0005-0000-0000-0000A9010000}"/>
    <cellStyle name="SAPBEXresItemX 3" xfId="425" xr:uid="{00000000-0005-0000-0000-0000AA010000}"/>
    <cellStyle name="SAPBEXstdData" xfId="4" xr:uid="{00000000-0005-0000-0000-0000AB010000}"/>
    <cellStyle name="SAPBEXstdData 2" xfId="427" xr:uid="{00000000-0005-0000-0000-0000AC010000}"/>
    <cellStyle name="SAPBEXstdData 2 2" xfId="428" xr:uid="{00000000-0005-0000-0000-0000AD010000}"/>
    <cellStyle name="SAPBEXstdData 2 2 2" xfId="429" xr:uid="{00000000-0005-0000-0000-0000AE010000}"/>
    <cellStyle name="SAPBEXstdData 3" xfId="426" xr:uid="{00000000-0005-0000-0000-0000AF010000}"/>
    <cellStyle name="SAPBEXstdDataEmph" xfId="430" xr:uid="{00000000-0005-0000-0000-0000B0010000}"/>
    <cellStyle name="SAPBEXstdDataEmph 2" xfId="431" xr:uid="{00000000-0005-0000-0000-0000B1010000}"/>
    <cellStyle name="SAPBEXstdDataEmph 2 2" xfId="432" xr:uid="{00000000-0005-0000-0000-0000B2010000}"/>
    <cellStyle name="SAPBEXstdDataEmph 3" xfId="433" xr:uid="{00000000-0005-0000-0000-0000B3010000}"/>
    <cellStyle name="SAPBEXstdDataEmph 4" xfId="434" xr:uid="{00000000-0005-0000-0000-0000B4010000}"/>
    <cellStyle name="SAPBEXstdItem" xfId="435" xr:uid="{00000000-0005-0000-0000-0000B5010000}"/>
    <cellStyle name="SAPBEXstdItem 2" xfId="436" xr:uid="{00000000-0005-0000-0000-0000B6010000}"/>
    <cellStyle name="SAPBEXstdItem 2 2" xfId="437" xr:uid="{00000000-0005-0000-0000-0000B7010000}"/>
    <cellStyle name="SAPBEXstdItemX" xfId="438" xr:uid="{00000000-0005-0000-0000-0000B8010000}"/>
    <cellStyle name="SAPBEXstdItemX 2" xfId="439" xr:uid="{00000000-0005-0000-0000-0000B9010000}"/>
    <cellStyle name="SAPBEXstdItemX 2 2" xfId="440" xr:uid="{00000000-0005-0000-0000-0000BA010000}"/>
    <cellStyle name="SAPBEXstdItemX 3" xfId="441" xr:uid="{00000000-0005-0000-0000-0000BB010000}"/>
    <cellStyle name="SAPBEXtitle" xfId="442" xr:uid="{00000000-0005-0000-0000-0000BC010000}"/>
    <cellStyle name="SAPBEXtitle 2" xfId="443" xr:uid="{00000000-0005-0000-0000-0000BD010000}"/>
    <cellStyle name="SAPBEXtitle 2 2" xfId="444" xr:uid="{00000000-0005-0000-0000-0000BE010000}"/>
    <cellStyle name="SAPBEXtitle 3" xfId="445" xr:uid="{00000000-0005-0000-0000-0000BF010000}"/>
    <cellStyle name="SAPBEXtitle 4" xfId="446" xr:uid="{00000000-0005-0000-0000-0000C0010000}"/>
    <cellStyle name="SAPBEXunassignedItem" xfId="447" xr:uid="{00000000-0005-0000-0000-0000C1010000}"/>
    <cellStyle name="SAPBEXundefined" xfId="448" xr:uid="{00000000-0005-0000-0000-0000C2010000}"/>
    <cellStyle name="SAPBEXundefined 2" xfId="449" xr:uid="{00000000-0005-0000-0000-0000C3010000}"/>
    <cellStyle name="SAPBEXundefined 2 2" xfId="450" xr:uid="{00000000-0005-0000-0000-0000C4010000}"/>
    <cellStyle name="SAPBEXundefined 3" xfId="451" xr:uid="{00000000-0005-0000-0000-0000C5010000}"/>
    <cellStyle name="SAPBEXundefined 4" xfId="452" xr:uid="{00000000-0005-0000-0000-0000C6010000}"/>
    <cellStyle name="Sheet Title" xfId="453" xr:uid="{00000000-0005-0000-0000-0000C7010000}"/>
    <cellStyle name="Style 1" xfId="454" xr:uid="{00000000-0005-0000-0000-0000C8010000}"/>
    <cellStyle name="Title 2" xfId="455" xr:uid="{00000000-0005-0000-0000-0000C9010000}"/>
    <cellStyle name="Title 3" xfId="456" xr:uid="{00000000-0005-0000-0000-0000CA010000}"/>
    <cellStyle name="Title 4" xfId="457" xr:uid="{00000000-0005-0000-0000-0000CB010000}"/>
    <cellStyle name="Total 2" xfId="458" xr:uid="{00000000-0005-0000-0000-0000CC010000}"/>
    <cellStyle name="V?st." xfId="459" xr:uid="{00000000-0005-0000-0000-0000CD010000}"/>
    <cellStyle name="Warning Text 2" xfId="460" xr:uid="{00000000-0005-0000-0000-0000CE010000}"/>
    <cellStyle name="Warning Text 2 2" xfId="461" xr:uid="{00000000-0005-0000-0000-0000CF010000}"/>
    <cellStyle name="Warning Text 3" xfId="462" xr:uid="{00000000-0005-0000-0000-0000D0010000}"/>
  </cellStyles>
  <dxfs count="1">
    <dxf>
      <font>
        <color rgb="FF006100"/>
      </font>
      <fill>
        <patternFill>
          <bgColor rgb="FFC6EFCE"/>
        </patternFill>
      </fill>
    </dxf>
  </dxfs>
  <tableStyles count="0" defaultTableStyle="TableStyleMedium2" defaultPivotStyle="PivotStyleLight16"/>
  <colors>
    <mruColors>
      <color rgb="FF012169"/>
      <color rgb="FFA6A6A6"/>
      <color rgb="FFF98386"/>
      <color rgb="FF0749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050">
                <a:latin typeface="Verdana" panose="020B0604030504040204" pitchFamily="34" charset="0"/>
                <a:ea typeface="Verdana" panose="020B0604030504040204" pitchFamily="34" charset="0"/>
              </a:rPr>
              <a:t>Konsolidētā kopbudžeta bilance, milj. eiro</a:t>
            </a:r>
            <a:endParaRPr lang="en-US" sz="1050">
              <a:latin typeface="Verdana" panose="020B0604030504040204" pitchFamily="34" charset="0"/>
              <a:ea typeface="Verdana" panose="020B0604030504040204" pitchFamily="34" charset="0"/>
            </a:endParaRPr>
          </a:p>
        </c:rich>
      </c:tx>
      <c:layout>
        <c:manualLayout>
          <c:xMode val="edge"/>
          <c:yMode val="edge"/>
          <c:x val="8.3845771436932864E-2"/>
          <c:y val="1.709834906733747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'2'!$B$22</c:f>
              <c:strCache>
                <c:ptCount val="1"/>
                <c:pt idx="0">
                  <c:v>2025</c:v>
                </c:pt>
              </c:strCache>
            </c:strRef>
          </c:tx>
          <c:spPr>
            <a:solidFill>
              <a:schemeClr val="accent1"/>
            </a:solidFill>
            <a:ln>
              <a:noFill/>
            </a:ln>
            <a:effectLst/>
          </c:spPr>
          <c:invertIfNegative val="0"/>
          <c:cat>
            <c:strRef>
              <c:f>'2'!$A$23:$A$34</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'2'!$B$23:$B$34</c:f>
              <c:numCache>
                <c:formatCode>#,##0</c:formatCode>
                <c:ptCount val="12"/>
                <c:pt idx="0">
                  <c:v>37266.269999999786</c:v>
                </c:pt>
                <c:pt idx="1">
                  <c:v>-68091.927000000607</c:v>
                </c:pt>
                <c:pt idx="2">
                  <c:v>-521193.81899999967</c:v>
                </c:pt>
                <c:pt idx="3">
                  <c:v>-777461.0130000012</c:v>
                </c:pt>
                <c:pt idx="4">
                  <c:v>-419815.81400000118</c:v>
                </c:pt>
                <c:pt idx="5">
                  <c:v>-253054.98100000247</c:v>
                </c:pt>
                <c:pt idx="6">
                  <c:v>-419939.14099999703</c:v>
                </c:pt>
                <c:pt idx="7">
                  <c:v>-257009.41000000015</c:v>
                </c:pt>
                <c:pt idx="8">
                  <c:v>-502206.53299999982</c:v>
                </c:pt>
                <c:pt idx="9">
                  <c:v>-810637.4140000008</c:v>
                </c:pt>
                <c:pt idx="10">
                  <c:v>-1032419.9930000007</c:v>
                </c:pt>
                <c:pt idx="11">
                  <c:v>-1740696.8379999958</c:v>
                </c:pt>
              </c:numCache>
            </c:numRef>
          </c:val>
          <c:extLst>
            <c:ext xmlns:c16="http://schemas.microsoft.com/office/drawing/2014/chart" uri="{C3380CC4-5D6E-409C-BE32-E72D297353CC}">
              <c16:uniqueId val="{00000000-549D-4D7F-AE86-BEF5B9C0912B}"/>
            </c:ext>
          </c:extLst>
        </c:ser>
        <c:ser>
          <c:idx val="1"/>
          <c:order val="1"/>
          <c:tx>
            <c:strRef>
              <c:f>'2'!$C$22</c:f>
              <c:strCache>
                <c:ptCount val="1"/>
                <c:pt idx="0">
                  <c:v>2026</c:v>
                </c:pt>
              </c:strCache>
            </c:strRef>
          </c:tx>
          <c:spPr>
            <a:solidFill>
              <a:schemeClr val="accent3"/>
            </a:solidFill>
            <a:ln>
              <a:noFill/>
            </a:ln>
            <a:effectLst/>
          </c:spPr>
          <c:invertIfNegative val="0"/>
          <c:cat>
            <c:strRef>
              <c:f>'2'!$A$23:$A$34</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'2'!$C$23:$C$34</c:f>
              <c:numCache>
                <c:formatCode>#,##0</c:formatCode>
                <c:ptCount val="12"/>
                <c:pt idx="0">
                  <c:v>-21540.934000000358</c:v>
                </c:pt>
                <c:pt idx="1">
                  <c:v>425448.61800000025</c:v>
                </c:pt>
                <c:pt idx="2">
                  <c:v>6527.8149999994785</c:v>
                </c:pt>
                <c:pt idx="3">
                  <c:v>-137458.6129999999</c:v>
                </c:pt>
                <c:pt idx="4">
                  <c:v>199841.31300000008</c:v>
                </c:pt>
                <c:pt idx="5">
                  <c:v>272066.80799999833</c:v>
                </c:pt>
                <c:pt idx="6">
                  <c:v>51063.656000001356</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un speciālā budžeta kopējā bilance, % no IKP</a:t>
            </a:r>
          </a:p>
        </c:rich>
      </c:tx>
      <c:layout>
        <c:manualLayout>
          <c:xMode val="edge"/>
          <c:yMode val="edge"/>
          <c:x val="8.6289355900432699E-2"/>
          <c:y val="1.2132401760185405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304422021614781E-2"/>
          <c:w val="0.88254396325459317"/>
          <c:h val="0.74623760210244017"/>
        </c:manualLayout>
      </c:layout>
      <c:barChart>
        <c:barDir val="col"/>
        <c:grouping val="clustered"/>
        <c:varyColors val="0"/>
        <c:ser>
          <c:idx val="0"/>
          <c:order val="0"/>
          <c:tx>
            <c:strRef>
              <c:f>'2'!$B$297</c:f>
              <c:strCache>
                <c:ptCount val="1"/>
                <c:pt idx="0">
                  <c:v>2025</c:v>
                </c:pt>
              </c:strCache>
            </c:strRef>
          </c:tx>
          <c:spPr>
            <a:solidFill>
              <a:schemeClr val="accent1"/>
            </a:solidFill>
            <a:ln>
              <a:noFill/>
            </a:ln>
            <a:effectLst/>
          </c:spPr>
          <c:invertIfNegative val="0"/>
          <c:cat>
            <c:multiLvlStrRef>
              <c:f>'2'!$A$298:$A$309</c:f>
            </c:multiLvlStrRef>
          </c:cat>
          <c:val>
            <c:numRef>
              <c:f>'2'!$B$298:$B$309</c:f>
            </c:numRef>
          </c:val>
          <c:extLst>
            <c:ext xmlns:c16="http://schemas.microsoft.com/office/drawing/2014/chart" uri="{C3380CC4-5D6E-409C-BE32-E72D297353CC}">
              <c16:uniqueId val="{00000002-A855-4097-9342-2494317E4ECD}"/>
            </c:ext>
          </c:extLst>
        </c:ser>
        <c:ser>
          <c:idx val="1"/>
          <c:order val="1"/>
          <c:tx>
            <c:strRef>
              <c:f>'2'!$C$297</c:f>
              <c:strCache>
                <c:ptCount val="1"/>
                <c:pt idx="0">
                  <c:v>2026</c:v>
                </c:pt>
              </c:strCache>
            </c:strRef>
          </c:tx>
          <c:spPr>
            <a:solidFill>
              <a:schemeClr val="accent2"/>
            </a:solidFill>
            <a:ln>
              <a:noFill/>
            </a:ln>
            <a:effectLst/>
          </c:spPr>
          <c:invertIfNegative val="0"/>
          <c:cat>
            <c:multiLvlStrRef>
              <c:f>'2'!$A$298:$A$309</c:f>
            </c:multiLvlStrRef>
          </c:cat>
          <c:val>
            <c:numRef>
              <c:f>'2'!$C$298:$C$309</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ieņēmumi, milj. eiro</a:t>
            </a:r>
          </a:p>
        </c:rich>
      </c:tx>
      <c:layout>
        <c:manualLayout>
          <c:xMode val="edge"/>
          <c:yMode val="edge"/>
          <c:x val="0.21270654585656926"/>
          <c:y val="4.1823504809703057E-3"/>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'4'!$B$6:$B$17</c:f>
              <c:numCache>
                <c:formatCode>#,##0</c:formatCode>
                <c:ptCount val="12"/>
                <c:pt idx="0">
                  <c:v>1557359.8019999999</c:v>
                </c:pt>
                <c:pt idx="1">
                  <c:v>1355056.4539999999</c:v>
                </c:pt>
                <c:pt idx="2">
                  <c:v>1183497.7439999999</c:v>
                </c:pt>
                <c:pt idx="3">
                  <c:v>1415647.6440000001</c:v>
                </c:pt>
                <c:pt idx="4">
                  <c:v>1711860.2449999999</c:v>
                </c:pt>
                <c:pt idx="5">
                  <c:v>1789638.223</c:v>
                </c:pt>
                <c:pt idx="6">
                  <c:v>1478726.0710000002</c:v>
                </c:pt>
                <c:pt idx="7">
                  <c:v>1374693.1979999996</c:v>
                </c:pt>
                <c:pt idx="8">
                  <c:v>1261556.1070000012</c:v>
                </c:pt>
                <c:pt idx="9">
                  <c:v>1282732.1999999983</c:v>
                </c:pt>
                <c:pt idx="10">
                  <c:v>1264748.5330000003</c:v>
                </c:pt>
                <c:pt idx="11">
                  <c:v>1470191.433</c:v>
                </c:pt>
              </c:numCache>
            </c:numRef>
          </c:val>
          <c:extLst>
            <c:ext xmlns:c16="http://schemas.microsoft.com/office/drawing/2014/chart" uri="{C3380CC4-5D6E-409C-BE32-E72D297353CC}">
              <c16:uniqueId val="{00000000-549D-4D7F-AE86-BEF5B9C0912B}"/>
            </c:ext>
          </c:extLst>
        </c:ser>
        <c:ser>
          <c:idx val="1"/>
          <c:order val="1"/>
          <c:tx>
            <c:strRef>
              <c:f>'4'!$C$5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'4'!$C$6:$C$17</c:f>
              <c:numCache>
                <c:formatCode>#,##0</c:formatCode>
                <c:ptCount val="12"/>
                <c:pt idx="0">
                  <c:v>1450465.2409999999</c:v>
                </c:pt>
                <c:pt idx="1">
                  <c:v>1441982.9519999996</c:v>
                </c:pt>
                <c:pt idx="2">
                  <c:v>1161206.1980000008</c:v>
                </c:pt>
                <c:pt idx="3">
                  <c:v>1396940.9009999991</c:v>
                </c:pt>
                <c:pt idx="4">
                  <c:v>1772410.4739999995</c:v>
                </c:pt>
                <c:pt idx="5">
                  <c:v>1707690.7170000002</c:v>
                </c:pt>
                <c:pt idx="6">
                  <c:v>1423418.7450000029</c:v>
                </c:pt>
                <c:pt idx="7">
                  <c:v>1610472.4329999965</c:v>
                </c:pt>
                <c:pt idx="8">
                  <c:v>1294154.9310000017</c:v>
                </c:pt>
                <c:pt idx="9">
                  <c:v>1351476.6319999993</c:v>
                </c:pt>
                <c:pt idx="10">
                  <c:v>1335414.6130000018</c:v>
                </c:pt>
                <c:pt idx="11">
                  <c:v>1832092.7490000017</c:v>
                </c:pt>
              </c:numCache>
            </c:numRef>
          </c:val>
          <c:extLst>
            <c:ext xmlns:c16="http://schemas.microsoft.com/office/drawing/2014/chart" uri="{C3380CC4-5D6E-409C-BE32-E72D297353CC}">
              <c16:uniqueId val="{00000001-549D-4D7F-AE86-BEF5B9C0912B}"/>
            </c:ext>
          </c:extLst>
        </c:ser>
        <c:ser>
          <c:idx val="2"/>
          <c:order val="2"/>
          <c:tx>
            <c:strRef>
              <c:f>'4'!$D$5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'4'!$D$6:$D$17</c:f>
              <c:numCache>
                <c:formatCode>#,##0</c:formatCode>
                <c:ptCount val="12"/>
                <c:pt idx="0">
                  <c:v>1501897.0279999999</c:v>
                </c:pt>
                <c:pt idx="1">
                  <c:v>2041843.8710000003</c:v>
                </c:pt>
                <c:pt idx="2">
                  <c:v>1241805.8729999997</c:v>
                </c:pt>
                <c:pt idx="3">
                  <c:v>1429556.0520000001</c:v>
                </c:pt>
                <c:pt idx="4">
                  <c:v>1890532.88</c:v>
                </c:pt>
                <c:pt idx="5">
                  <c:v>1762502.5490000006</c:v>
                </c:pt>
                <c:pt idx="6">
                  <c:v>1553971.6630000006</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2236116163114381"/>
          <c:y val="0.94217297341866124"/>
          <c:w val="0.25904724953984914"/>
          <c:h val="5.782693475689671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19540960486850512"/>
          <c:y val="8.3647037165959347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'4'!$E$6:$E$17</c:f>
              <c:numCache>
                <c:formatCode>#,##0</c:formatCode>
                <c:ptCount val="12"/>
                <c:pt idx="0">
                  <c:v>1303627.6510000001</c:v>
                </c:pt>
                <c:pt idx="1">
                  <c:v>1427917.6090000002</c:v>
                </c:pt>
                <c:pt idx="2">
                  <c:v>1322792.966</c:v>
                </c:pt>
                <c:pt idx="3">
                  <c:v>1553303.541999999</c:v>
                </c:pt>
                <c:pt idx="4">
                  <c:v>1362544.1009999998</c:v>
                </c:pt>
                <c:pt idx="5">
                  <c:v>1438872.2280000001</c:v>
                </c:pt>
                <c:pt idx="6">
                  <c:v>1492723.1660000011</c:v>
                </c:pt>
                <c:pt idx="7">
                  <c:v>1314621.5870000012</c:v>
                </c:pt>
                <c:pt idx="8">
                  <c:v>1304550.4690000005</c:v>
                </c:pt>
                <c:pt idx="9">
                  <c:v>1578167.1949999984</c:v>
                </c:pt>
                <c:pt idx="10">
                  <c:v>1506903.9630000014</c:v>
                </c:pt>
                <c:pt idx="11">
                  <c:v>2272808.0069999993</c:v>
                </c:pt>
              </c:numCache>
            </c:numRef>
          </c:val>
          <c:extLst>
            <c:ext xmlns:c16="http://schemas.microsoft.com/office/drawing/2014/chart" uri="{C3380CC4-5D6E-409C-BE32-E72D297353CC}">
              <c16:uniqueId val="{00000000-549D-4D7F-AE86-BEF5B9C0912B}"/>
            </c:ext>
          </c:extLst>
        </c:ser>
        <c:ser>
          <c:idx val="1"/>
          <c:order val="1"/>
          <c:tx>
            <c:strRef>
              <c:f>'4'!$F$5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'4'!$F$6:$F$17</c:f>
              <c:numCache>
                <c:formatCode>#,##0</c:formatCode>
                <c:ptCount val="12"/>
                <c:pt idx="0">
                  <c:v>1413198.9710000001</c:v>
                </c:pt>
                <c:pt idx="1">
                  <c:v>1547341.149</c:v>
                </c:pt>
                <c:pt idx="2">
                  <c:v>1614308.0899999999</c:v>
                </c:pt>
                <c:pt idx="3">
                  <c:v>1653208.0950000007</c:v>
                </c:pt>
                <c:pt idx="4">
                  <c:v>1414765.2749999994</c:v>
                </c:pt>
                <c:pt idx="5">
                  <c:v>1540929.8840000015</c:v>
                </c:pt>
                <c:pt idx="6">
                  <c:v>1590302.9049999975</c:v>
                </c:pt>
                <c:pt idx="7">
                  <c:v>1447542.7019999996</c:v>
                </c:pt>
                <c:pt idx="8">
                  <c:v>1539352.0540000014</c:v>
                </c:pt>
                <c:pt idx="9">
                  <c:v>1659907.5130000003</c:v>
                </c:pt>
                <c:pt idx="10">
                  <c:v>1557197.1920000017</c:v>
                </c:pt>
                <c:pt idx="11">
                  <c:v>2540369.5939999968</c:v>
                </c:pt>
              </c:numCache>
            </c:numRef>
          </c:val>
          <c:extLst>
            <c:ext xmlns:c16="http://schemas.microsoft.com/office/drawing/2014/chart" uri="{C3380CC4-5D6E-409C-BE32-E72D297353CC}">
              <c16:uniqueId val="{00000001-549D-4D7F-AE86-BEF5B9C0912B}"/>
            </c:ext>
          </c:extLst>
        </c:ser>
        <c:ser>
          <c:idx val="2"/>
          <c:order val="2"/>
          <c:tx>
            <c:strRef>
              <c:f>'4'!$G$5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'4'!$G$6:$G$17</c:f>
              <c:numCache>
                <c:formatCode>#,##0</c:formatCode>
                <c:ptCount val="12"/>
                <c:pt idx="0">
                  <c:v>1523437.9620000003</c:v>
                </c:pt>
                <c:pt idx="1">
                  <c:v>1594854.3189999997</c:v>
                </c:pt>
                <c:pt idx="2">
                  <c:v>1660726.6760000004</c:v>
                </c:pt>
                <c:pt idx="3">
                  <c:v>1573542.4799999995</c:v>
                </c:pt>
                <c:pt idx="4">
                  <c:v>1553232.9539999999</c:v>
                </c:pt>
                <c:pt idx="5">
                  <c:v>1690277.0540000023</c:v>
                </c:pt>
                <c:pt idx="6">
                  <c:v>1774974.8149999976</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2448708680653465"/>
          <c:y val="0.95951556305371166"/>
          <c:w val="0.25904724953984914"/>
          <c:h val="4.048450735023639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0048172065461337"/>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'4'!$H$5</c:f>
              <c:strCache>
                <c:ptCount val="1"/>
                <c:pt idx="0">
                  <c:v>2024</c:v>
                </c:pt>
              </c:strCache>
            </c:strRef>
          </c:tx>
          <c:spPr>
            <a:solidFill>
              <a:schemeClr val="accent1"/>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'4'!$H$6:$H$17</c:f>
              <c:numCache>
                <c:formatCode>#,##0</c:formatCode>
                <c:ptCount val="12"/>
                <c:pt idx="0">
                  <c:v>253732.15099999984</c:v>
                </c:pt>
                <c:pt idx="1">
                  <c:v>-72861.155000000261</c:v>
                </c:pt>
                <c:pt idx="2">
                  <c:v>-139295.22200000007</c:v>
                </c:pt>
                <c:pt idx="3">
                  <c:v>-137655.89799999888</c:v>
                </c:pt>
                <c:pt idx="4">
                  <c:v>349316.14400000009</c:v>
                </c:pt>
                <c:pt idx="5">
                  <c:v>350765.99499999988</c:v>
                </c:pt>
                <c:pt idx="6">
                  <c:v>-13997.095000000903</c:v>
                </c:pt>
                <c:pt idx="7">
                  <c:v>60071.610999998404</c:v>
                </c:pt>
                <c:pt idx="8">
                  <c:v>-42994.361999999266</c:v>
                </c:pt>
                <c:pt idx="9">
                  <c:v>-295434.99500000011</c:v>
                </c:pt>
                <c:pt idx="10">
                  <c:v>-242155.4300000011</c:v>
                </c:pt>
                <c:pt idx="11">
                  <c:v>-802616.57399999932</c:v>
                </c:pt>
              </c:numCache>
            </c:numRef>
          </c:val>
          <c:extLst>
            <c:ext xmlns:c16="http://schemas.microsoft.com/office/drawing/2014/chart" uri="{C3380CC4-5D6E-409C-BE32-E72D297353CC}">
              <c16:uniqueId val="{00000000-549D-4D7F-AE86-BEF5B9C0912B}"/>
            </c:ext>
          </c:extLst>
        </c:ser>
        <c:ser>
          <c:idx val="1"/>
          <c:order val="1"/>
          <c:tx>
            <c:strRef>
              <c:f>'4'!$I$5</c:f>
              <c:strCache>
                <c:ptCount val="1"/>
                <c:pt idx="0">
                  <c:v>2025</c:v>
                </c:pt>
              </c:strCache>
            </c:strRef>
          </c:tx>
          <c:spPr>
            <a:solidFill>
              <a:schemeClr val="accent3"/>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'4'!$I$6:$I$17</c:f>
              <c:numCache>
                <c:formatCode>#,##0</c:formatCode>
                <c:ptCount val="12"/>
                <c:pt idx="0">
                  <c:v>37266.269999999786</c:v>
                </c:pt>
                <c:pt idx="1">
                  <c:v>-105358.19700000039</c:v>
                </c:pt>
                <c:pt idx="2">
                  <c:v>-453101.89199999906</c:v>
                </c:pt>
                <c:pt idx="3">
                  <c:v>-256267.19400000153</c:v>
                </c:pt>
                <c:pt idx="4">
                  <c:v>357645.19900000002</c:v>
                </c:pt>
                <c:pt idx="5">
                  <c:v>166760.8329999987</c:v>
                </c:pt>
                <c:pt idx="6">
                  <c:v>-166884.15999999456</c:v>
                </c:pt>
                <c:pt idx="7">
                  <c:v>162929.73099999689</c:v>
                </c:pt>
                <c:pt idx="8">
                  <c:v>-245197.12299999967</c:v>
                </c:pt>
                <c:pt idx="9">
                  <c:v>-308430.88100000098</c:v>
                </c:pt>
                <c:pt idx="10">
                  <c:v>-221782.57899999991</c:v>
                </c:pt>
                <c:pt idx="11">
                  <c:v>-708276.84499999508</c:v>
                </c:pt>
              </c:numCache>
            </c:numRef>
          </c:val>
          <c:extLst>
            <c:ext xmlns:c16="http://schemas.microsoft.com/office/drawing/2014/chart" uri="{C3380CC4-5D6E-409C-BE32-E72D297353CC}">
              <c16:uniqueId val="{00000001-549D-4D7F-AE86-BEF5B9C0912B}"/>
            </c:ext>
          </c:extLst>
        </c:ser>
        <c:ser>
          <c:idx val="2"/>
          <c:order val="2"/>
          <c:tx>
            <c:strRef>
              <c:f>'4'!$J$5</c:f>
              <c:strCache>
                <c:ptCount val="1"/>
                <c:pt idx="0">
                  <c:v>2026</c:v>
                </c:pt>
              </c:strCache>
            </c:strRef>
          </c:tx>
          <c:spPr>
            <a:solidFill>
              <a:schemeClr val="accent5"/>
            </a:solidFill>
            <a:ln>
              <a:noFill/>
            </a:ln>
            <a:effectLst/>
          </c:spPr>
          <c:invertIfNegative val="0"/>
          <c:cat>
            <c:strRef>
              <c:f>'4'!$A$6:$A$17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'4'!$J$6:$J$17</c:f>
              <c:numCache>
                <c:formatCode>#,##0</c:formatCode>
                <c:ptCount val="12"/>
                <c:pt idx="0">
                  <c:v>-21540.934000000358</c:v>
                </c:pt>
                <c:pt idx="1">
                  <c:v>446989.55200000061</c:v>
                </c:pt>
                <c:pt idx="2">
                  <c:v>-418920.80300000077</c:v>
                </c:pt>
                <c:pt idx="3">
                  <c:v>-143986.42799999937</c:v>
                </c:pt>
                <c:pt idx="4">
                  <c:v>337299.92599999998</c:v>
                </c:pt>
                <c:pt idx="5">
                  <c:v>72225.494999998249</c:v>
                </c:pt>
                <c:pt idx="6">
                  <c:v>-221003.15199999698</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3736200918167425"/>
          <c:y val="0.94677645532176147"/>
          <c:w val="0.25904724953984914"/>
          <c:h val="5.32236859520174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Konsolidētā kopbudžeta ieņēmumi, % no IKP</a:t>
            </a:r>
          </a:p>
        </c:rich>
      </c:tx>
      <c:layout>
        <c:manualLayout>
          <c:xMode val="edge"/>
          <c:yMode val="edge"/>
          <c:x val="0.19819637051981287"/>
          <c:y val="1.46112747774111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'4'!$B$78</c:f>
              <c:strCache>
                <c:ptCount val="1"/>
                <c:pt idx="0">
                  <c:v>2024</c:v>
                </c:pt>
              </c:strCache>
            </c:strRef>
          </c:tx>
          <c:spPr>
            <a:solidFill>
              <a:schemeClr val="accent1"/>
            </a:solidFill>
            <a:ln>
              <a:noFill/>
            </a:ln>
            <a:effectLst/>
          </c:spPr>
          <c:invertIfNegative val="0"/>
          <c:cat>
            <c:multiLvlStrRef>
              <c:f>'4'!$A$79:$A$90</c:f>
            </c:multiLvlStrRef>
          </c:cat>
          <c:val>
            <c:numRef>
              <c:f>'4'!$B$79:$B$90</c:f>
            </c:numRef>
          </c:val>
          <c:extLst>
            <c:ext xmlns:c16="http://schemas.microsoft.com/office/drawing/2014/chart" uri="{C3380CC4-5D6E-409C-BE32-E72D297353CC}">
              <c16:uniqueId val="{00000000-549D-4D7F-AE86-BEF5B9C0912B}"/>
            </c:ext>
          </c:extLst>
        </c:ser>
        <c:ser>
          <c:idx val="1"/>
          <c:order val="1"/>
          <c:tx>
            <c:strRef>
              <c:f>'4'!$C$78</c:f>
              <c:strCache>
                <c:ptCount val="1"/>
                <c:pt idx="0">
                  <c:v>2025</c:v>
                </c:pt>
              </c:strCache>
            </c:strRef>
          </c:tx>
          <c:spPr>
            <a:solidFill>
              <a:schemeClr val="accent3"/>
            </a:solidFill>
            <a:ln>
              <a:noFill/>
            </a:ln>
            <a:effectLst/>
          </c:spPr>
          <c:invertIfNegative val="0"/>
          <c:cat>
            <c:multiLvlStrRef>
              <c:f>'4'!$A$79:$A$90</c:f>
            </c:multiLvlStrRef>
          </c:cat>
          <c:val>
            <c:numRef>
              <c:f>'4'!$C$79:$C$90</c:f>
            </c:numRef>
          </c:val>
          <c:extLst>
            <c:ext xmlns:c16="http://schemas.microsoft.com/office/drawing/2014/chart" uri="{C3380CC4-5D6E-409C-BE32-E72D297353CC}">
              <c16:uniqueId val="{00000001-549D-4D7F-AE86-BEF5B9C0912B}"/>
            </c:ext>
          </c:extLst>
        </c:ser>
        <c:ser>
          <c:idx val="2"/>
          <c:order val="2"/>
          <c:tx>
            <c:strRef>
              <c:f>'4'!$D$78</c:f>
              <c:strCache>
                <c:ptCount val="1"/>
                <c:pt idx="0">
                  <c:v>2026</c:v>
                </c:pt>
              </c:strCache>
            </c:strRef>
          </c:tx>
          <c:spPr>
            <a:solidFill>
              <a:schemeClr val="accent5"/>
            </a:solidFill>
            <a:ln>
              <a:noFill/>
            </a:ln>
            <a:effectLst/>
          </c:spPr>
          <c:invertIfNegative val="0"/>
          <c:cat>
            <c:multiLvlStrRef>
              <c:f>'4'!$A$79:$A$90</c:f>
            </c:multiLvlStrRef>
          </c:cat>
          <c:val>
            <c:numRef>
              <c:f>'4'!$D$79:$D$90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458213946782954"/>
          <c:y val="0.95102277715661154"/>
          <c:w val="0.25904724953984914"/>
          <c:h val="4.897726322623163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Konsolidētā kopbudžeta izdevumi, % no IKP</a:t>
            </a:r>
          </a:p>
        </c:rich>
      </c:tx>
      <c:layout>
        <c:manualLayout>
          <c:xMode val="edge"/>
          <c:yMode val="edge"/>
          <c:x val="0.22576568999178445"/>
          <c:y val="1.8793902330590109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'4'!$E$78</c:f>
              <c:strCache>
                <c:ptCount val="1"/>
                <c:pt idx="0">
                  <c:v>2024</c:v>
                </c:pt>
              </c:strCache>
            </c:strRef>
          </c:tx>
          <c:spPr>
            <a:solidFill>
              <a:schemeClr val="accent1"/>
            </a:solidFill>
            <a:ln>
              <a:noFill/>
            </a:ln>
            <a:effectLst/>
          </c:spPr>
          <c:invertIfNegative val="0"/>
          <c:cat>
            <c:multiLvlStrRef>
              <c:f>'4'!$A$79:$A$90</c:f>
            </c:multiLvlStrRef>
          </c:cat>
          <c:val>
            <c:numRef>
              <c:f>'4'!$E$79:$E$90</c:f>
            </c:numRef>
          </c:val>
          <c:extLst>
            <c:ext xmlns:c16="http://schemas.microsoft.com/office/drawing/2014/chart" uri="{C3380CC4-5D6E-409C-BE32-E72D297353CC}">
              <c16:uniqueId val="{00000000-549D-4D7F-AE86-BEF5B9C0912B}"/>
            </c:ext>
          </c:extLst>
        </c:ser>
        <c:ser>
          <c:idx val="1"/>
          <c:order val="1"/>
          <c:tx>
            <c:strRef>
              <c:f>'4'!$F$78</c:f>
              <c:strCache>
                <c:ptCount val="1"/>
                <c:pt idx="0">
                  <c:v>2025</c:v>
                </c:pt>
              </c:strCache>
            </c:strRef>
          </c:tx>
          <c:spPr>
            <a:solidFill>
              <a:schemeClr val="accent3"/>
            </a:solidFill>
            <a:ln>
              <a:noFill/>
            </a:ln>
            <a:effectLst/>
          </c:spPr>
          <c:invertIfNegative val="0"/>
          <c:cat>
            <c:multiLvlStrRef>
              <c:f>'4'!$A$79:$A$90</c:f>
            </c:multiLvlStrRef>
          </c:cat>
          <c:val>
            <c:numRef>
              <c:f>'4'!$F$79:$F$90</c:f>
            </c:numRef>
          </c:val>
          <c:extLst>
            <c:ext xmlns:c16="http://schemas.microsoft.com/office/drawing/2014/chart" uri="{C3380CC4-5D6E-409C-BE32-E72D297353CC}">
              <c16:uniqueId val="{00000001-549D-4D7F-AE86-BEF5B9C0912B}"/>
            </c:ext>
          </c:extLst>
        </c:ser>
        <c:ser>
          <c:idx val="2"/>
          <c:order val="2"/>
          <c:tx>
            <c:strRef>
              <c:f>'4'!$G$78</c:f>
              <c:strCache>
                <c:ptCount val="1"/>
                <c:pt idx="0">
                  <c:v>2026</c:v>
                </c:pt>
              </c:strCache>
            </c:strRef>
          </c:tx>
          <c:spPr>
            <a:solidFill>
              <a:schemeClr val="accent5"/>
            </a:solidFill>
            <a:ln>
              <a:noFill/>
            </a:ln>
            <a:effectLst/>
          </c:spPr>
          <c:invertIfNegative val="0"/>
          <c:cat>
            <c:multiLvlStrRef>
              <c:f>'4'!$A$79:$A$90</c:f>
            </c:multiLvlStrRef>
          </c:cat>
          <c:val>
            <c:numRef>
              <c:f>'4'!$G$79:$G$90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193692495943038"/>
          <c:y val="0.94696845205580715"/>
          <c:w val="0.25904724953984914"/>
          <c:h val="5.30315454608324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Konsolidētā kopbudžeta bilance, % no IKP</a:t>
            </a:r>
          </a:p>
        </c:rich>
      </c:tx>
      <c:layout>
        <c:manualLayout>
          <c:xMode val="edge"/>
          <c:yMode val="edge"/>
          <c:x val="0.24330980238303904"/>
          <c:y val="1.4611547037760684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'4'!$H$78</c:f>
              <c:strCache>
                <c:ptCount val="1"/>
                <c:pt idx="0">
                  <c:v>2024</c:v>
                </c:pt>
              </c:strCache>
            </c:strRef>
          </c:tx>
          <c:spPr>
            <a:solidFill>
              <a:schemeClr val="accent1"/>
            </a:solidFill>
            <a:ln>
              <a:noFill/>
            </a:ln>
            <a:effectLst/>
          </c:spPr>
          <c:invertIfNegative val="0"/>
          <c:cat>
            <c:multiLvlStrRef>
              <c:f>'4'!$A$79:$A$90</c:f>
            </c:multiLvlStrRef>
          </c:cat>
          <c:val>
            <c:numRef>
              <c:f>'4'!$H$79:$H$90</c:f>
            </c:numRef>
          </c:val>
          <c:extLst>
            <c:ext xmlns:c16="http://schemas.microsoft.com/office/drawing/2014/chart" uri="{C3380CC4-5D6E-409C-BE32-E72D297353CC}">
              <c16:uniqueId val="{00000000-549D-4D7F-AE86-BEF5B9C0912B}"/>
            </c:ext>
          </c:extLst>
        </c:ser>
        <c:ser>
          <c:idx val="1"/>
          <c:order val="1"/>
          <c:tx>
            <c:strRef>
              <c:f>'4'!$I$78</c:f>
              <c:strCache>
                <c:ptCount val="1"/>
                <c:pt idx="0">
                  <c:v>2025</c:v>
                </c:pt>
              </c:strCache>
            </c:strRef>
          </c:tx>
          <c:spPr>
            <a:solidFill>
              <a:schemeClr val="accent3"/>
            </a:solidFill>
            <a:ln>
              <a:noFill/>
            </a:ln>
            <a:effectLst/>
          </c:spPr>
          <c:invertIfNegative val="0"/>
          <c:cat>
            <c:multiLvlStrRef>
              <c:f>'4'!$A$79:$A$90</c:f>
            </c:multiLvlStrRef>
          </c:cat>
          <c:val>
            <c:numRef>
              <c:f>'4'!$I$79:$I$90</c:f>
            </c:numRef>
          </c:val>
          <c:extLst>
            <c:ext xmlns:c16="http://schemas.microsoft.com/office/drawing/2014/chart" uri="{C3380CC4-5D6E-409C-BE32-E72D297353CC}">
              <c16:uniqueId val="{00000001-549D-4D7F-AE86-BEF5B9C0912B}"/>
            </c:ext>
          </c:extLst>
        </c:ser>
        <c:ser>
          <c:idx val="2"/>
          <c:order val="2"/>
          <c:tx>
            <c:strRef>
              <c:f>'4'!$J$78</c:f>
              <c:strCache>
                <c:ptCount val="1"/>
                <c:pt idx="0">
                  <c:v>2026</c:v>
                </c:pt>
              </c:strCache>
            </c:strRef>
          </c:tx>
          <c:spPr>
            <a:solidFill>
              <a:schemeClr val="accent5"/>
            </a:solidFill>
            <a:ln>
              <a:noFill/>
            </a:ln>
            <a:effectLst/>
          </c:spPr>
          <c:invertIfNegative val="0"/>
          <c:cat>
            <c:multiLvlStrRef>
              <c:f>'4'!$A$79:$A$90</c:f>
            </c:multiLvlStrRef>
          </c:cat>
          <c:val>
            <c:numRef>
              <c:f>'4'!$J$79:$J$90</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3860377379616677"/>
          <c:w val="0.25904724953984914"/>
          <c:h val="6.13962262038331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r>
              <a:rPr lang="lv-LV"/>
              <a:t>Nodokļu ieņēmumi, t.sk. VSAOI, pa mēnešiem, milj. eiro</a:t>
            </a:r>
            <a:endParaRPr lang="en-US"/>
          </a:p>
        </c:rich>
      </c:tx>
      <c:layout>
        <c:manualLayout>
          <c:xMode val="edge"/>
          <c:yMode val="edge"/>
          <c:x val="0.19339901291637956"/>
          <c:y val="6.6342218216800851E-3"/>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6900481189851275E-2"/>
          <c:y val="6.4149098587995765E-2"/>
          <c:w val="0.88254396325459317"/>
          <c:h val="0.70753757324813382"/>
        </c:manualLayout>
      </c:layout>
      <c:barChart>
        <c:barDir val="col"/>
        <c:grouping val="clustered"/>
        <c:varyColors val="0"/>
        <c:ser>
          <c:idx val="0"/>
          <c:order val="0"/>
          <c:tx>
            <c:strRef>
              <c:f>'4'!$B$151</c:f>
              <c:strCache>
                <c:ptCount val="1"/>
                <c:pt idx="0">
                  <c:v>2023</c:v>
                </c:pt>
              </c:strCache>
            </c:strRef>
          </c:tx>
          <c:spPr>
            <a:solidFill>
              <a:schemeClr val="accent1"/>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'4'!$B$152:$B$163</c:f>
              <c:numCache>
                <c:formatCode>#,##0</c:formatCode>
                <c:ptCount val="12"/>
                <c:pt idx="0">
                  <c:v>1077162.7609999999</c:v>
                </c:pt>
                <c:pt idx="1">
                  <c:v>983504.24399999995</c:v>
                </c:pt>
                <c:pt idx="2">
                  <c:v>838446.19</c:v>
                </c:pt>
                <c:pt idx="3">
                  <c:v>1063867.0010000002</c:v>
                </c:pt>
                <c:pt idx="4">
                  <c:v>1071795.2409999999</c:v>
                </c:pt>
                <c:pt idx="5">
                  <c:v>1023214.676</c:v>
                </c:pt>
                <c:pt idx="6">
                  <c:v>1108668.1310000001</c:v>
                </c:pt>
                <c:pt idx="7">
                  <c:v>1074853.3080000002</c:v>
                </c:pt>
                <c:pt idx="8">
                  <c:v>1074818.7690000003</c:v>
                </c:pt>
                <c:pt idx="9">
                  <c:v>1092402.0949999988</c:v>
                </c:pt>
                <c:pt idx="10">
                  <c:v>1019073.949000001</c:v>
                </c:pt>
                <c:pt idx="11">
                  <c:v>1172609.2300000004</c:v>
                </c:pt>
              </c:numCache>
            </c:numRef>
          </c:val>
          <c:extLst>
            <c:ext xmlns:c16="http://schemas.microsoft.com/office/drawing/2014/chart" uri="{C3380CC4-5D6E-409C-BE32-E72D297353CC}">
              <c16:uniqueId val="{00000000-549D-4D7F-AE86-BEF5B9C0912B}"/>
            </c:ext>
          </c:extLst>
        </c:ser>
        <c:ser>
          <c:idx val="1"/>
          <c:order val="1"/>
          <c:tx>
            <c:strRef>
              <c:f>'4'!$C$151</c:f>
              <c:strCache>
                <c:ptCount val="1"/>
                <c:pt idx="0">
                  <c:v>2024</c:v>
                </c:pt>
              </c:strCache>
            </c:strRef>
          </c:tx>
          <c:spPr>
            <a:solidFill>
              <a:schemeClr val="accent3"/>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'4'!$C$152:$C$163</c:f>
              <c:numCache>
                <c:formatCode>#,##0</c:formatCode>
                <c:ptCount val="12"/>
                <c:pt idx="0">
                  <c:v>1080454.102</c:v>
                </c:pt>
                <c:pt idx="1">
                  <c:v>1024283.855</c:v>
                </c:pt>
                <c:pt idx="2">
                  <c:v>948366.56</c:v>
                </c:pt>
                <c:pt idx="3">
                  <c:v>1101148.2999999998</c:v>
                </c:pt>
                <c:pt idx="4">
                  <c:v>1184611.6260000002</c:v>
                </c:pt>
                <c:pt idx="5">
                  <c:v>1175606.6299999999</c:v>
                </c:pt>
                <c:pt idx="6">
                  <c:v>1168928.6660000002</c:v>
                </c:pt>
                <c:pt idx="7">
                  <c:v>1163803.9859999996</c:v>
                </c:pt>
                <c:pt idx="8">
                  <c:v>1144495.5980000012</c:v>
                </c:pt>
                <c:pt idx="9">
                  <c:v>1143525.4899999984</c:v>
                </c:pt>
                <c:pt idx="10">
                  <c:v>1134290.6260000002</c:v>
                </c:pt>
                <c:pt idx="11">
                  <c:v>1313998.17</c:v>
                </c:pt>
              </c:numCache>
            </c:numRef>
          </c:val>
          <c:extLst>
            <c:ext xmlns:c16="http://schemas.microsoft.com/office/drawing/2014/chart" uri="{C3380CC4-5D6E-409C-BE32-E72D297353CC}">
              <c16:uniqueId val="{00000001-549D-4D7F-AE86-BEF5B9C0912B}"/>
            </c:ext>
          </c:extLst>
        </c:ser>
        <c:ser>
          <c:idx val="2"/>
          <c:order val="2"/>
          <c:tx>
            <c:strRef>
              <c:f>'4'!$D$151</c:f>
              <c:strCache>
                <c:ptCount val="1"/>
                <c:pt idx="0">
                  <c:v>2025</c:v>
                </c:pt>
              </c:strCache>
            </c:strRef>
          </c:tx>
          <c:spPr>
            <a:solidFill>
              <a:schemeClr val="accent5"/>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'4'!$D$152:$D$163</c:f>
              <c:numCache>
                <c:formatCode>#,##0</c:formatCode>
                <c:ptCount val="12"/>
                <c:pt idx="0">
                  <c:v>1197099.889</c:v>
                </c:pt>
                <c:pt idx="1">
                  <c:v>1075544.3429999999</c:v>
                </c:pt>
                <c:pt idx="2">
                  <c:v>982712.22600000026</c:v>
                </c:pt>
                <c:pt idx="3">
                  <c:v>1155370.0780000002</c:v>
                </c:pt>
                <c:pt idx="4">
                  <c:v>1230647.0999999996</c:v>
                </c:pt>
                <c:pt idx="5">
                  <c:v>1253873.0930000003</c:v>
                </c:pt>
                <c:pt idx="6">
                  <c:v>1238509.5449999999</c:v>
                </c:pt>
                <c:pt idx="7">
                  <c:v>1259247.875</c:v>
                </c:pt>
                <c:pt idx="8">
                  <c:v>1177867.6439999994</c:v>
                </c:pt>
                <c:pt idx="9">
                  <c:v>1237640.790000001</c:v>
                </c:pt>
                <c:pt idx="10">
                  <c:v>1207441.3959999997</c:v>
                </c:pt>
                <c:pt idx="11">
                  <c:v>1322799.3560000006</c:v>
                </c:pt>
              </c:numCache>
            </c:numRef>
          </c:val>
          <c:extLst>
            <c:ext xmlns:c16="http://schemas.microsoft.com/office/drawing/2014/chart" uri="{C3380CC4-5D6E-409C-BE32-E72D297353CC}">
              <c16:uniqueId val="{00000007-204E-40A5-ACAB-CE57E9C4D3B6}"/>
            </c:ext>
          </c:extLst>
        </c:ser>
        <c:ser>
          <c:idx val="3"/>
          <c:order val="3"/>
          <c:tx>
            <c:strRef>
              <c:f>'4'!$E$151</c:f>
              <c:strCache>
                <c:ptCount val="1"/>
                <c:pt idx="0">
                  <c:v>2026</c:v>
                </c:pt>
              </c:strCache>
            </c:strRef>
          </c:tx>
          <c:spPr>
            <a:solidFill>
              <a:schemeClr val="accent1">
                <a:lumMod val="60000"/>
              </a:schemeClr>
            </a:solidFill>
            <a:ln>
              <a:noFill/>
            </a:ln>
            <a:effectLst/>
          </c:spPr>
          <c:invertIfNegative val="0"/>
          <c:cat>
            <c:strRef>
              <c:f>'4'!$A$152:$A$163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'4'!$E$152:$E$163</c:f>
              <c:numCache>
                <c:formatCode>#,##0</c:formatCode>
                <c:ptCount val="12"/>
                <c:pt idx="0">
                  <c:v>1245064.9280000001</c:v>
                </c:pt>
                <c:pt idx="1">
                  <c:v>1168970.0870000001</c:v>
                </c:pt>
                <c:pt idx="2">
                  <c:v>1051697.0249999999</c:v>
                </c:pt>
                <c:pt idx="3">
                  <c:v>1254694.6859999998</c:v>
                </c:pt>
                <c:pt idx="4">
                  <c:v>1269884.932</c:v>
                </c:pt>
                <c:pt idx="5">
                  <c:v>1294126.7369999997</c:v>
                </c:pt>
                <c:pt idx="6">
                  <c:v>1358438.3030000012</c:v>
                </c:pt>
                <c:pt idx="7">
                  <c:v>0</c:v>
                </c:pt>
                <c:pt idx="8">
                  <c:v>0</c:v>
                </c:pt>
                <c:pt idx="9">
                  <c:v>0</c:v>
                </c:pt>
                <c:pt idx="10">
                  <c:v>0</c:v>
                </c:pt>
                <c:pt idx="11">
                  <c:v>0</c:v>
                </c:pt>
              </c:numCache>
            </c:numRef>
          </c:val>
          <c:extLst>
            <c:ext xmlns:c16="http://schemas.microsoft.com/office/drawing/2014/chart" uri="{C3380CC4-5D6E-409C-BE32-E72D297353CC}">
              <c16:uniqueId val="{00000008-204E-40A5-ACAB-CE57E9C4D3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25245475426446173"/>
          <c:y val="0.94681754789237216"/>
          <c:w val="0.4716033733918405"/>
          <c:h val="5.318257462974820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sz="800"/>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ieņēmumi, </a:t>
            </a:r>
            <a:r>
              <a:rPr lang="lv-LV" sz="1050" b="0" i="0" u="none" strike="noStrike" baseline="0">
                <a:effectLst/>
              </a:rPr>
              <a:t>milj.</a:t>
            </a: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2802037234741232"/>
          <c:y val="0"/>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'4'!$B$194:$B$205</c:f>
              <c:numCache>
                <c:formatCode>#,##0</c:formatCode>
                <c:ptCount val="12"/>
                <c:pt idx="0">
                  <c:v>921874.01300000004</c:v>
                </c:pt>
                <c:pt idx="1">
                  <c:v>745501.69200000004</c:v>
                </c:pt>
                <c:pt idx="2">
                  <c:v>701863.54900000012</c:v>
                </c:pt>
                <c:pt idx="3">
                  <c:v>828734.15099999961</c:v>
                </c:pt>
                <c:pt idx="4">
                  <c:v>1112888.0019999999</c:v>
                </c:pt>
                <c:pt idx="5">
                  <c:v>1214401.3590000002</c:v>
                </c:pt>
                <c:pt idx="6">
                  <c:v>876243.38400000054</c:v>
                </c:pt>
                <c:pt idx="7">
                  <c:v>715432.98199999984</c:v>
                </c:pt>
                <c:pt idx="8">
                  <c:v>684282.52099999972</c:v>
                </c:pt>
                <c:pt idx="9">
                  <c:v>685390.35200000089</c:v>
                </c:pt>
                <c:pt idx="10">
                  <c:v>639433.59499999881</c:v>
                </c:pt>
                <c:pt idx="11">
                  <c:v>877363.22499999963</c:v>
                </c:pt>
              </c:numCache>
            </c:numRef>
          </c:val>
          <c:extLst>
            <c:ext xmlns:c16="http://schemas.microsoft.com/office/drawing/2014/chart" uri="{C3380CC4-5D6E-409C-BE32-E72D297353CC}">
              <c16:uniqueId val="{00000000-549D-4D7F-AE86-BEF5B9C0912B}"/>
            </c:ext>
          </c:extLst>
        </c:ser>
        <c:ser>
          <c:idx val="1"/>
          <c:order val="1"/>
          <c:tx>
            <c:strRef>
              <c:f>'4'!$C$193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'4'!$C$194:$C$205</c:f>
              <c:numCache>
                <c:formatCode>#,##0</c:formatCode>
                <c:ptCount val="12"/>
                <c:pt idx="0">
                  <c:v>821224.52960000001</c:v>
                </c:pt>
                <c:pt idx="1">
                  <c:v>845118.13847999997</c:v>
                </c:pt>
                <c:pt idx="2">
                  <c:v>541443.01641000039</c:v>
                </c:pt>
                <c:pt idx="3">
                  <c:v>810168.96401999984</c:v>
                </c:pt>
                <c:pt idx="4">
                  <c:v>1133027.2438799995</c:v>
                </c:pt>
                <c:pt idx="5">
                  <c:v>1117744.1013000002</c:v>
                </c:pt>
                <c:pt idx="6">
                  <c:v>765816.7826000005</c:v>
                </c:pt>
                <c:pt idx="7">
                  <c:v>900524.82335999887</c:v>
                </c:pt>
                <c:pt idx="8">
                  <c:v>667612.6850800002</c:v>
                </c:pt>
                <c:pt idx="9">
                  <c:v>692132.44983000122</c:v>
                </c:pt>
                <c:pt idx="10">
                  <c:v>664955.67294999864</c:v>
                </c:pt>
                <c:pt idx="11">
                  <c:v>1156648.6786400005</c:v>
                </c:pt>
              </c:numCache>
            </c:numRef>
          </c:val>
          <c:extLst>
            <c:ext xmlns:c16="http://schemas.microsoft.com/office/drawing/2014/chart" uri="{C3380CC4-5D6E-409C-BE32-E72D297353CC}">
              <c16:uniqueId val="{00000001-549D-4D7F-AE86-BEF5B9C0912B}"/>
            </c:ext>
          </c:extLst>
        </c:ser>
        <c:ser>
          <c:idx val="2"/>
          <c:order val="2"/>
          <c:tx>
            <c:strRef>
              <c:f>'4'!$D$193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'4'!$D$194:$D$205</c:f>
              <c:numCache>
                <c:formatCode>#,##0</c:formatCode>
                <c:ptCount val="12"/>
                <c:pt idx="0">
                  <c:v>834086.23502000002</c:v>
                </c:pt>
                <c:pt idx="1">
                  <c:v>1392742.4127699998</c:v>
                </c:pt>
                <c:pt idx="2">
                  <c:v>588517.87928000046</c:v>
                </c:pt>
                <c:pt idx="3">
                  <c:v>783290.9747999995</c:v>
                </c:pt>
                <c:pt idx="4">
                  <c:v>1205589.7364000008</c:v>
                </c:pt>
                <c:pt idx="5">
                  <c:v>1119878.0918799993</c:v>
                </c:pt>
                <c:pt idx="6">
                  <c:v>840241.00327000022</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6063121616837854"/>
          <c:w val="0.25904724953984914"/>
          <c:h val="3.936878383162144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805445464861455"/>
          <c:y val="4.1571915977593066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'4'!$E$194:$E$205</c:f>
              <c:numCache>
                <c:formatCode>#,##0</c:formatCode>
                <c:ptCount val="12"/>
                <c:pt idx="0">
                  <c:v>809894.40800000005</c:v>
                </c:pt>
                <c:pt idx="1">
                  <c:v>879752.527</c:v>
                </c:pt>
                <c:pt idx="2">
                  <c:v>805671.92599999998</c:v>
                </c:pt>
                <c:pt idx="3">
                  <c:v>1076388.2510000002</c:v>
                </c:pt>
                <c:pt idx="4">
                  <c:v>783793.17400000012</c:v>
                </c:pt>
                <c:pt idx="5">
                  <c:v>913333.06599999964</c:v>
                </c:pt>
                <c:pt idx="6">
                  <c:v>919897.35099999979</c:v>
                </c:pt>
                <c:pt idx="7">
                  <c:v>731294.85800000001</c:v>
                </c:pt>
                <c:pt idx="8">
                  <c:v>759501.68300000019</c:v>
                </c:pt>
                <c:pt idx="9">
                  <c:v>1004326.5670000007</c:v>
                </c:pt>
                <c:pt idx="10">
                  <c:v>887610.95199999958</c:v>
                </c:pt>
                <c:pt idx="11">
                  <c:v>1514563.4039999992</c:v>
                </c:pt>
              </c:numCache>
            </c:numRef>
          </c:val>
          <c:extLst>
            <c:ext xmlns:c16="http://schemas.microsoft.com/office/drawing/2014/chart" uri="{C3380CC4-5D6E-409C-BE32-E72D297353CC}">
              <c16:uniqueId val="{00000000-549D-4D7F-AE86-BEF5B9C0912B}"/>
            </c:ext>
          </c:extLst>
        </c:ser>
        <c:ser>
          <c:idx val="1"/>
          <c:order val="1"/>
          <c:tx>
            <c:strRef>
              <c:f>'4'!$F$193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'4'!$F$194:$F$205</c:f>
              <c:numCache>
                <c:formatCode>#,##0</c:formatCode>
                <c:ptCount val="12"/>
                <c:pt idx="0">
                  <c:v>947223.47174000007</c:v>
                </c:pt>
                <c:pt idx="1">
                  <c:v>992197.92921999993</c:v>
                </c:pt>
                <c:pt idx="2">
                  <c:v>1035654.5327599996</c:v>
                </c:pt>
                <c:pt idx="3">
                  <c:v>1028097.9180900003</c:v>
                </c:pt>
                <c:pt idx="4">
                  <c:v>904831.5170099996</c:v>
                </c:pt>
                <c:pt idx="5">
                  <c:v>1053602.7097500004</c:v>
                </c:pt>
                <c:pt idx="6">
                  <c:v>960064.15614000056</c:v>
                </c:pt>
                <c:pt idx="7">
                  <c:v>824974.24048999976</c:v>
                </c:pt>
                <c:pt idx="8">
                  <c:v>966256.08107999992</c:v>
                </c:pt>
                <c:pt idx="9">
                  <c:v>1046493.8330800012</c:v>
                </c:pt>
                <c:pt idx="10">
                  <c:v>888780.23090999946</c:v>
                </c:pt>
                <c:pt idx="11">
                  <c:v>1690403.4542399999</c:v>
                </c:pt>
              </c:numCache>
            </c:numRef>
          </c:val>
          <c:extLst>
            <c:ext xmlns:c16="http://schemas.microsoft.com/office/drawing/2014/chart" uri="{C3380CC4-5D6E-409C-BE32-E72D297353CC}">
              <c16:uniqueId val="{00000001-549D-4D7F-AE86-BEF5B9C0912B}"/>
            </c:ext>
          </c:extLst>
        </c:ser>
        <c:ser>
          <c:idx val="2"/>
          <c:order val="2"/>
          <c:tx>
            <c:strRef>
              <c:f>'4'!$G$193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'4'!$G$194:$G$205</c:f>
              <c:numCache>
                <c:formatCode>#,##0</c:formatCode>
                <c:ptCount val="12"/>
                <c:pt idx="0">
                  <c:v>1084422.9634</c:v>
                </c:pt>
                <c:pt idx="1">
                  <c:v>986399.3014</c:v>
                </c:pt>
                <c:pt idx="2">
                  <c:v>1016556.1669800002</c:v>
                </c:pt>
                <c:pt idx="3">
                  <c:v>932487.56950000022</c:v>
                </c:pt>
                <c:pt idx="4">
                  <c:v>990503.34266999923</c:v>
                </c:pt>
                <c:pt idx="5">
                  <c:v>1090422.9437600002</c:v>
                </c:pt>
                <c:pt idx="6">
                  <c:v>1076637.1212200001</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681740796157843"/>
          <c:w val="0.25904724953984914"/>
          <c:h val="5.318259203842161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20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Konsolidētā kopbudžeta</a:t>
            </a:r>
            <a:r>
              <a:rPr lang="lv-LV" sz="1050" baseline="0"/>
              <a:t> bilance, % no IKP</a:t>
            </a:r>
            <a:endParaRPr lang="en-US" sz="1050"/>
          </a:p>
        </c:rich>
      </c:tx>
      <c:layout>
        <c:manualLayout>
          <c:xMode val="edge"/>
          <c:yMode val="edge"/>
          <c:x val="8.2044185221988669E-2"/>
          <c:y val="1.8782554659969978E-2"/>
        </c:manualLayout>
      </c:layout>
      <c:overlay val="0"/>
      <c:spPr>
        <a:noFill/>
        <a:ln>
          <a:noFill/>
        </a:ln>
        <a:effectLst/>
      </c:spPr>
      <c:txPr>
        <a:bodyPr rot="0" spcFirstLastPara="1" vertOverflow="ellipsis" vert="horz" wrap="square" anchor="ctr" anchorCtr="1"/>
        <a:lstStyle/>
        <a:p>
          <a:pPr algn="ctr" rtl="0">
            <a:defRPr lang="lv-LV" sz="120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en-US"/>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'2'!$B$61</c:f>
              <c:strCache>
                <c:ptCount val="1"/>
                <c:pt idx="0">
                  <c:v>2025</c:v>
                </c:pt>
              </c:strCache>
            </c:strRef>
          </c:tx>
          <c:spPr>
            <a:solidFill>
              <a:schemeClr val="accent1"/>
            </a:solidFill>
            <a:ln>
              <a:noFill/>
            </a:ln>
            <a:effectLst/>
          </c:spPr>
          <c:invertIfNegative val="0"/>
          <c:dLbls>
            <c:delete val="1"/>
          </c:dLbls>
          <c:cat>
            <c:multiLvlStrRef>
              <c:f>'2'!$A$62:$A$73</c:f>
            </c:multiLvlStrRef>
          </c:cat>
          <c:val>
            <c:numRef>
              <c:f>'2'!$B$62:$B$73</c:f>
            </c:numRef>
          </c:val>
          <c:extLst>
            <c:ext xmlns:c16="http://schemas.microsoft.com/office/drawing/2014/chart" uri="{C3380CC4-5D6E-409C-BE32-E72D297353CC}">
              <c16:uniqueId val="{00000000-549D-4D7F-AE86-BEF5B9C0912B}"/>
            </c:ext>
          </c:extLst>
        </c:ser>
        <c:ser>
          <c:idx val="1"/>
          <c:order val="1"/>
          <c:tx>
            <c:strRef>
              <c:f>'2'!$C$61</c:f>
              <c:strCache>
                <c:ptCount val="1"/>
                <c:pt idx="0">
                  <c:v>2026</c:v>
                </c:pt>
              </c:strCache>
            </c:strRef>
          </c:tx>
          <c:spPr>
            <a:solidFill>
              <a:schemeClr val="accent3"/>
            </a:solidFill>
            <a:ln>
              <a:noFill/>
            </a:ln>
            <a:effectLst/>
          </c:spPr>
          <c:invertIfNegative val="0"/>
          <c:dLbls>
            <c:delete val="1"/>
          </c:dLbls>
          <c:cat>
            <c:multiLvlStrRef>
              <c:f>'2'!$A$62:$A$73</c:f>
            </c:multiLvlStrRef>
          </c:cat>
          <c:val>
            <c:numRef>
              <c:f>'2'!$C$62:$C$73</c:f>
            </c:numRef>
          </c:val>
          <c:extLst>
            <c:ext xmlns:c16="http://schemas.microsoft.com/office/drawing/2014/chart" uri="{C3380CC4-5D6E-409C-BE32-E72D297353CC}">
              <c16:uniqueId val="{00000001-549D-4D7F-AE86-BEF5B9C0912B}"/>
            </c:ext>
          </c:extLst>
        </c:ser>
        <c:dLbls>
          <c:dLblPos val="outEnd"/>
          <c:showLegendKey val="0"/>
          <c:showVal val="1"/>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2551185177211178"/>
          <c:y val="3.3257521895626377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0.11164314417135741"/>
          <c:w val="0.88254396325459317"/>
          <c:h val="0.71763807436329541"/>
        </c:manualLayout>
      </c:layout>
      <c:barChart>
        <c:barDir val="col"/>
        <c:grouping val="clustered"/>
        <c:varyColors val="0"/>
        <c:ser>
          <c:idx val="0"/>
          <c:order val="0"/>
          <c:tx>
            <c:strRef>
              <c:f>'4'!$H$193</c:f>
              <c:strCache>
                <c:ptCount val="1"/>
                <c:pt idx="0">
                  <c:v>2024</c:v>
                </c:pt>
              </c:strCache>
            </c:strRef>
          </c:tx>
          <c:spPr>
            <a:solidFill>
              <a:schemeClr val="accent1"/>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'4'!$H$194:$H$205</c:f>
              <c:numCache>
                <c:formatCode>#,##0</c:formatCode>
                <c:ptCount val="12"/>
                <c:pt idx="0">
                  <c:v>111979.60499999998</c:v>
                </c:pt>
                <c:pt idx="1">
                  <c:v>-134250.83499999996</c:v>
                </c:pt>
                <c:pt idx="2">
                  <c:v>-103808.37699999986</c:v>
                </c:pt>
                <c:pt idx="3">
                  <c:v>-247654.10000000056</c:v>
                </c:pt>
                <c:pt idx="4">
                  <c:v>329094.82799999975</c:v>
                </c:pt>
                <c:pt idx="5">
                  <c:v>301068.29300000053</c:v>
                </c:pt>
                <c:pt idx="6">
                  <c:v>-43653.966999999247</c:v>
                </c:pt>
                <c:pt idx="7">
                  <c:v>-15861.876000000164</c:v>
                </c:pt>
                <c:pt idx="8">
                  <c:v>-75219.162000000477</c:v>
                </c:pt>
                <c:pt idx="9">
                  <c:v>-318936.21499999985</c:v>
                </c:pt>
                <c:pt idx="10">
                  <c:v>-248177.35700000077</c:v>
                </c:pt>
                <c:pt idx="11">
                  <c:v>-637200.17899999954</c:v>
                </c:pt>
              </c:numCache>
            </c:numRef>
          </c:val>
          <c:extLst>
            <c:ext xmlns:c16="http://schemas.microsoft.com/office/drawing/2014/chart" uri="{C3380CC4-5D6E-409C-BE32-E72D297353CC}">
              <c16:uniqueId val="{00000000-549D-4D7F-AE86-BEF5B9C0912B}"/>
            </c:ext>
          </c:extLst>
        </c:ser>
        <c:ser>
          <c:idx val="1"/>
          <c:order val="1"/>
          <c:tx>
            <c:strRef>
              <c:f>'4'!$I$193</c:f>
              <c:strCache>
                <c:ptCount val="1"/>
                <c:pt idx="0">
                  <c:v>2025</c:v>
                </c:pt>
              </c:strCache>
            </c:strRef>
          </c:tx>
          <c:spPr>
            <a:solidFill>
              <a:schemeClr val="accent3"/>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'4'!$I$194:$I$205</c:f>
              <c:numCache>
                <c:formatCode>#,##0</c:formatCode>
                <c:ptCount val="12"/>
                <c:pt idx="0">
                  <c:v>-125998.94214000006</c:v>
                </c:pt>
                <c:pt idx="1">
                  <c:v>-147079.79073999997</c:v>
                </c:pt>
                <c:pt idx="2">
                  <c:v>-494211.51634999923</c:v>
                </c:pt>
                <c:pt idx="3">
                  <c:v>-217928.95407000044</c:v>
                </c:pt>
                <c:pt idx="4">
                  <c:v>228195.7268699999</c:v>
                </c:pt>
                <c:pt idx="5">
                  <c:v>64141.391549999826</c:v>
                </c:pt>
                <c:pt idx="6">
                  <c:v>-194247.37354000006</c:v>
                </c:pt>
                <c:pt idx="7">
                  <c:v>75550.582869999111</c:v>
                </c:pt>
                <c:pt idx="8">
                  <c:v>-298643.39599999972</c:v>
                </c:pt>
                <c:pt idx="9">
                  <c:v>-354361.38324999996</c:v>
                </c:pt>
                <c:pt idx="10">
                  <c:v>-223824.55796000082</c:v>
                </c:pt>
                <c:pt idx="11">
                  <c:v>-533754.77559999935</c:v>
                </c:pt>
              </c:numCache>
            </c:numRef>
          </c:val>
          <c:extLst>
            <c:ext xmlns:c16="http://schemas.microsoft.com/office/drawing/2014/chart" uri="{C3380CC4-5D6E-409C-BE32-E72D297353CC}">
              <c16:uniqueId val="{00000001-549D-4D7F-AE86-BEF5B9C0912B}"/>
            </c:ext>
          </c:extLst>
        </c:ser>
        <c:ser>
          <c:idx val="2"/>
          <c:order val="2"/>
          <c:tx>
            <c:strRef>
              <c:f>'4'!$J$193</c:f>
              <c:strCache>
                <c:ptCount val="1"/>
                <c:pt idx="0">
                  <c:v>2026</c:v>
                </c:pt>
              </c:strCache>
            </c:strRef>
          </c:tx>
          <c:spPr>
            <a:solidFill>
              <a:schemeClr val="accent5"/>
            </a:solidFill>
            <a:ln>
              <a:noFill/>
            </a:ln>
            <a:effectLst/>
          </c:spPr>
          <c:invertIfNegative val="0"/>
          <c:cat>
            <c:strRef>
              <c:f>'4'!$A$194:$A$205</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'4'!$J$194:$J$205</c:f>
              <c:numCache>
                <c:formatCode>#,##0</c:formatCode>
                <c:ptCount val="12"/>
                <c:pt idx="0">
                  <c:v>-250336.72837999999</c:v>
                </c:pt>
                <c:pt idx="1">
                  <c:v>406343.11136999982</c:v>
                </c:pt>
                <c:pt idx="2">
                  <c:v>-428038.28769999975</c:v>
                </c:pt>
                <c:pt idx="3">
                  <c:v>-149196.59470000071</c:v>
                </c:pt>
                <c:pt idx="4">
                  <c:v>215086.39373000152</c:v>
                </c:pt>
                <c:pt idx="5">
                  <c:v>29455.148119999096</c:v>
                </c:pt>
                <c:pt idx="6">
                  <c:v>-236396.11794999987</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097461560720509"/>
          <c:w val="0.25904724953984914"/>
          <c:h val="4.90253843927948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pamatbudžeta ieņēmumi, % no IKP</a:t>
            </a:r>
          </a:p>
        </c:rich>
      </c:tx>
      <c:layout>
        <c:manualLayout>
          <c:xMode val="edge"/>
          <c:yMode val="edge"/>
          <c:x val="0.24832240592339755"/>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'4'!$B$266</c:f>
              <c:strCache>
                <c:ptCount val="1"/>
                <c:pt idx="0">
                  <c:v>2024</c:v>
                </c:pt>
              </c:strCache>
            </c:strRef>
          </c:tx>
          <c:spPr>
            <a:solidFill>
              <a:schemeClr val="accent1"/>
            </a:solidFill>
            <a:ln>
              <a:noFill/>
            </a:ln>
            <a:effectLst/>
          </c:spPr>
          <c:invertIfNegative val="0"/>
          <c:cat>
            <c:multiLvlStrRef>
              <c:f>'4'!$A$267:$A$278</c:f>
            </c:multiLvlStrRef>
          </c:cat>
          <c:val>
            <c:numRef>
              <c:f>'4'!$B$267:$B$278</c:f>
            </c:numRef>
          </c:val>
          <c:extLst>
            <c:ext xmlns:c16="http://schemas.microsoft.com/office/drawing/2014/chart" uri="{C3380CC4-5D6E-409C-BE32-E72D297353CC}">
              <c16:uniqueId val="{00000000-549D-4D7F-AE86-BEF5B9C0912B}"/>
            </c:ext>
          </c:extLst>
        </c:ser>
        <c:ser>
          <c:idx val="1"/>
          <c:order val="1"/>
          <c:tx>
            <c:strRef>
              <c:f>'4'!$C$266</c:f>
              <c:strCache>
                <c:ptCount val="1"/>
                <c:pt idx="0">
                  <c:v>2025</c:v>
                </c:pt>
              </c:strCache>
            </c:strRef>
          </c:tx>
          <c:spPr>
            <a:solidFill>
              <a:schemeClr val="accent3"/>
            </a:solidFill>
            <a:ln>
              <a:noFill/>
            </a:ln>
            <a:effectLst/>
          </c:spPr>
          <c:invertIfNegative val="0"/>
          <c:cat>
            <c:multiLvlStrRef>
              <c:f>'4'!$A$267:$A$278</c:f>
            </c:multiLvlStrRef>
          </c:cat>
          <c:val>
            <c:numRef>
              <c:f>'4'!$C$267:$C$278</c:f>
            </c:numRef>
          </c:val>
          <c:extLst>
            <c:ext xmlns:c16="http://schemas.microsoft.com/office/drawing/2014/chart" uri="{C3380CC4-5D6E-409C-BE32-E72D297353CC}">
              <c16:uniqueId val="{00000001-549D-4D7F-AE86-BEF5B9C0912B}"/>
            </c:ext>
          </c:extLst>
        </c:ser>
        <c:ser>
          <c:idx val="2"/>
          <c:order val="2"/>
          <c:tx>
            <c:strRef>
              <c:f>'4'!$D$266</c:f>
              <c:strCache>
                <c:ptCount val="1"/>
                <c:pt idx="0">
                  <c:v>2026</c:v>
                </c:pt>
              </c:strCache>
            </c:strRef>
          </c:tx>
          <c:spPr>
            <a:solidFill>
              <a:schemeClr val="accent5"/>
            </a:solidFill>
            <a:ln>
              <a:noFill/>
            </a:ln>
            <a:effectLst/>
          </c:spPr>
          <c:invertIfNegative val="0"/>
          <c:cat>
            <c:multiLvlStrRef>
              <c:f>'4'!$A$267:$A$278</c:f>
            </c:multiLvlStrRef>
          </c:cat>
          <c:val>
            <c:numRef>
              <c:f>'4'!$D$267:$D$278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pamatbudžeta izdevumi, % no IKP</a:t>
            </a:r>
          </a:p>
        </c:rich>
      </c:tx>
      <c:layout>
        <c:manualLayout>
          <c:xMode val="edge"/>
          <c:yMode val="edge"/>
          <c:x val="0.24080350061285979"/>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'4'!$E$266</c:f>
              <c:strCache>
                <c:ptCount val="1"/>
                <c:pt idx="0">
                  <c:v>2024</c:v>
                </c:pt>
              </c:strCache>
            </c:strRef>
          </c:tx>
          <c:spPr>
            <a:solidFill>
              <a:schemeClr val="accent1"/>
            </a:solidFill>
            <a:ln>
              <a:noFill/>
            </a:ln>
            <a:effectLst/>
          </c:spPr>
          <c:invertIfNegative val="0"/>
          <c:cat>
            <c:multiLvlStrRef>
              <c:f>'4'!$A$267:$A$278</c:f>
            </c:multiLvlStrRef>
          </c:cat>
          <c:val>
            <c:numRef>
              <c:f>'4'!$E$267:$E$278</c:f>
            </c:numRef>
          </c:val>
          <c:extLst>
            <c:ext xmlns:c16="http://schemas.microsoft.com/office/drawing/2014/chart" uri="{C3380CC4-5D6E-409C-BE32-E72D297353CC}">
              <c16:uniqueId val="{00000000-549D-4D7F-AE86-BEF5B9C0912B}"/>
            </c:ext>
          </c:extLst>
        </c:ser>
        <c:ser>
          <c:idx val="1"/>
          <c:order val="1"/>
          <c:tx>
            <c:strRef>
              <c:f>'4'!$F$266</c:f>
              <c:strCache>
                <c:ptCount val="1"/>
                <c:pt idx="0">
                  <c:v>2025</c:v>
                </c:pt>
              </c:strCache>
            </c:strRef>
          </c:tx>
          <c:spPr>
            <a:solidFill>
              <a:schemeClr val="accent3"/>
            </a:solidFill>
            <a:ln>
              <a:noFill/>
            </a:ln>
            <a:effectLst/>
          </c:spPr>
          <c:invertIfNegative val="0"/>
          <c:cat>
            <c:multiLvlStrRef>
              <c:f>'4'!$A$267:$A$278</c:f>
            </c:multiLvlStrRef>
          </c:cat>
          <c:val>
            <c:numRef>
              <c:f>'4'!$F$267:$F$278</c:f>
            </c:numRef>
          </c:val>
          <c:extLst>
            <c:ext xmlns:c16="http://schemas.microsoft.com/office/drawing/2014/chart" uri="{C3380CC4-5D6E-409C-BE32-E72D297353CC}">
              <c16:uniqueId val="{00000001-549D-4D7F-AE86-BEF5B9C0912B}"/>
            </c:ext>
          </c:extLst>
        </c:ser>
        <c:ser>
          <c:idx val="2"/>
          <c:order val="2"/>
          <c:tx>
            <c:strRef>
              <c:f>'4'!$G$266</c:f>
              <c:strCache>
                <c:ptCount val="1"/>
                <c:pt idx="0">
                  <c:v>2026</c:v>
                </c:pt>
              </c:strCache>
            </c:strRef>
          </c:tx>
          <c:spPr>
            <a:solidFill>
              <a:schemeClr val="accent5"/>
            </a:solidFill>
            <a:ln>
              <a:noFill/>
            </a:ln>
            <a:effectLst/>
          </c:spPr>
          <c:invertIfNegative val="0"/>
          <c:cat>
            <c:multiLvlStrRef>
              <c:f>'4'!$A$267:$A$278</c:f>
            </c:multiLvlStrRef>
          </c:cat>
          <c:val>
            <c:numRef>
              <c:f>'4'!$G$267:$G$278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pamatbudžeta bilance, % no IKP</a:t>
            </a:r>
          </a:p>
        </c:rich>
      </c:tx>
      <c:layout>
        <c:manualLayout>
          <c:xMode val="edge"/>
          <c:yMode val="edge"/>
          <c:x val="0.2483224059233976"/>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'4'!$H$266</c:f>
              <c:strCache>
                <c:ptCount val="1"/>
                <c:pt idx="0">
                  <c:v>2024</c:v>
                </c:pt>
              </c:strCache>
            </c:strRef>
          </c:tx>
          <c:spPr>
            <a:solidFill>
              <a:schemeClr val="accent1"/>
            </a:solidFill>
            <a:ln>
              <a:noFill/>
            </a:ln>
            <a:effectLst/>
          </c:spPr>
          <c:invertIfNegative val="0"/>
          <c:cat>
            <c:multiLvlStrRef>
              <c:f>'4'!$A$267:$A$278</c:f>
            </c:multiLvlStrRef>
          </c:cat>
          <c:val>
            <c:numRef>
              <c:f>'4'!$H$267:$H$278</c:f>
            </c:numRef>
          </c:val>
          <c:extLst>
            <c:ext xmlns:c16="http://schemas.microsoft.com/office/drawing/2014/chart" uri="{C3380CC4-5D6E-409C-BE32-E72D297353CC}">
              <c16:uniqueId val="{00000000-549D-4D7F-AE86-BEF5B9C0912B}"/>
            </c:ext>
          </c:extLst>
        </c:ser>
        <c:ser>
          <c:idx val="1"/>
          <c:order val="1"/>
          <c:tx>
            <c:strRef>
              <c:f>'4'!$I$266</c:f>
              <c:strCache>
                <c:ptCount val="1"/>
                <c:pt idx="0">
                  <c:v>2025</c:v>
                </c:pt>
              </c:strCache>
            </c:strRef>
          </c:tx>
          <c:spPr>
            <a:solidFill>
              <a:schemeClr val="accent3"/>
            </a:solidFill>
            <a:ln>
              <a:noFill/>
            </a:ln>
            <a:effectLst/>
          </c:spPr>
          <c:invertIfNegative val="0"/>
          <c:cat>
            <c:multiLvlStrRef>
              <c:f>'4'!$A$267:$A$278</c:f>
            </c:multiLvlStrRef>
          </c:cat>
          <c:val>
            <c:numRef>
              <c:f>'4'!$I$267:$I$278</c:f>
            </c:numRef>
          </c:val>
          <c:extLst>
            <c:ext xmlns:c16="http://schemas.microsoft.com/office/drawing/2014/chart" uri="{C3380CC4-5D6E-409C-BE32-E72D297353CC}">
              <c16:uniqueId val="{00000001-549D-4D7F-AE86-BEF5B9C0912B}"/>
            </c:ext>
          </c:extLst>
        </c:ser>
        <c:ser>
          <c:idx val="2"/>
          <c:order val="2"/>
          <c:tx>
            <c:strRef>
              <c:f>'4'!$J$266</c:f>
              <c:strCache>
                <c:ptCount val="1"/>
                <c:pt idx="0">
                  <c:v>2026</c:v>
                </c:pt>
              </c:strCache>
            </c:strRef>
          </c:tx>
          <c:spPr>
            <a:solidFill>
              <a:schemeClr val="accent5"/>
            </a:solidFill>
            <a:ln>
              <a:noFill/>
            </a:ln>
            <a:effectLst/>
          </c:spPr>
          <c:invertIfNegative val="0"/>
          <c:cat>
            <c:multiLvlStrRef>
              <c:f>'4'!$A$267:$A$278</c:f>
            </c:multiLvlStrRef>
          </c:cat>
          <c:val>
            <c:numRef>
              <c:f>'4'!$J$267:$J$278</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3863160755896036"/>
          <c:w val="0.25904724953984914"/>
          <c:h val="6.13683924410396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ieņēmumi, </a:t>
            </a:r>
            <a:r>
              <a:rPr lang="lv-LV" sz="1050" b="0" i="0" u="none" strike="noStrike" baseline="0">
                <a:effectLst/>
              </a:rPr>
              <a:t>milj.</a:t>
            </a: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554593407331398"/>
          <c:y val="2.0911752404851526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'4'!$B$340:$B$351</c:f>
              <c:numCache>
                <c:formatCode>#,##0</c:formatCode>
                <c:ptCount val="12"/>
                <c:pt idx="0">
                  <c:v>418920.08</c:v>
                </c:pt>
                <c:pt idx="1">
                  <c:v>375519.64900000003</c:v>
                </c:pt>
                <c:pt idx="2">
                  <c:v>354904.03700000001</c:v>
                </c:pt>
                <c:pt idx="3">
                  <c:v>418219.87999999989</c:v>
                </c:pt>
                <c:pt idx="4">
                  <c:v>380821.70200000005</c:v>
                </c:pt>
                <c:pt idx="5">
                  <c:v>382971.3600000001</c:v>
                </c:pt>
                <c:pt idx="6">
                  <c:v>394615.49099999992</c:v>
                </c:pt>
                <c:pt idx="7">
                  <c:v>401394.84700000007</c:v>
                </c:pt>
                <c:pt idx="8">
                  <c:v>369593.38199999975</c:v>
                </c:pt>
                <c:pt idx="9">
                  <c:v>394067.81799999997</c:v>
                </c:pt>
                <c:pt idx="10">
                  <c:v>383293.73800000036</c:v>
                </c:pt>
                <c:pt idx="11">
                  <c:v>374702.53699999955</c:v>
                </c:pt>
              </c:numCache>
            </c:numRef>
          </c:val>
          <c:extLst>
            <c:ext xmlns:c16="http://schemas.microsoft.com/office/drawing/2014/chart" uri="{C3380CC4-5D6E-409C-BE32-E72D297353CC}">
              <c16:uniqueId val="{00000000-549D-4D7F-AE86-BEF5B9C0912B}"/>
            </c:ext>
          </c:extLst>
        </c:ser>
        <c:ser>
          <c:idx val="1"/>
          <c:order val="1"/>
          <c:tx>
            <c:strRef>
              <c:f>'4'!$C$339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'4'!$C$340:$C$351</c:f>
              <c:numCache>
                <c:formatCode>#,##0</c:formatCode>
                <c:ptCount val="12"/>
                <c:pt idx="0">
                  <c:v>467815.38360999996</c:v>
                </c:pt>
                <c:pt idx="1">
                  <c:v>380804.92089000001</c:v>
                </c:pt>
                <c:pt idx="2">
                  <c:v>399315.07610999991</c:v>
                </c:pt>
                <c:pt idx="3">
                  <c:v>411874.29661999992</c:v>
                </c:pt>
                <c:pt idx="4">
                  <c:v>423672.29734000028</c:v>
                </c:pt>
                <c:pt idx="5">
                  <c:v>427821.50489999959</c:v>
                </c:pt>
                <c:pt idx="6">
                  <c:v>459364.36483000033</c:v>
                </c:pt>
                <c:pt idx="7">
                  <c:v>457105.74471999984</c:v>
                </c:pt>
                <c:pt idx="8">
                  <c:v>413079.54783000005</c:v>
                </c:pt>
                <c:pt idx="9">
                  <c:v>455650.55233999947</c:v>
                </c:pt>
                <c:pt idx="10">
                  <c:v>429515.29582000058</c:v>
                </c:pt>
                <c:pt idx="11">
                  <c:v>463335.25663000066</c:v>
                </c:pt>
              </c:numCache>
            </c:numRef>
          </c:val>
          <c:extLst>
            <c:ext xmlns:c16="http://schemas.microsoft.com/office/drawing/2014/chart" uri="{C3380CC4-5D6E-409C-BE32-E72D297353CC}">
              <c16:uniqueId val="{00000001-549D-4D7F-AE86-BEF5B9C0912B}"/>
            </c:ext>
          </c:extLst>
        </c:ser>
        <c:ser>
          <c:idx val="2"/>
          <c:order val="2"/>
          <c:tx>
            <c:strRef>
              <c:f>'4'!$D$339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'4'!$D$340:$D$351</c:f>
              <c:numCache>
                <c:formatCode>#,##0</c:formatCode>
                <c:ptCount val="12"/>
                <c:pt idx="0">
                  <c:v>509610.05454000004</c:v>
                </c:pt>
                <c:pt idx="1">
                  <c:v>417718.58872</c:v>
                </c:pt>
                <c:pt idx="2">
                  <c:v>426990.35977999982</c:v>
                </c:pt>
                <c:pt idx="3">
                  <c:v>462965.77572000003</c:v>
                </c:pt>
                <c:pt idx="4">
                  <c:v>464424.98145000008</c:v>
                </c:pt>
                <c:pt idx="5">
                  <c:v>457853.08846999984</c:v>
                </c:pt>
                <c:pt idx="6">
                  <c:v>499538.53207000019</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696845453916756"/>
          <c:w val="0.25904724953984914"/>
          <c:h val="5.30315454608324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izdevumi,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12969248895609"/>
          <c:y val="1.6628766391037227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'4'!$E$340:$E$351</c:f>
              <c:numCache>
                <c:formatCode>#,##0</c:formatCode>
                <c:ptCount val="12"/>
                <c:pt idx="0">
                  <c:v>384082.641</c:v>
                </c:pt>
                <c:pt idx="1">
                  <c:v>354883.67</c:v>
                </c:pt>
                <c:pt idx="2">
                  <c:v>327126.696</c:v>
                </c:pt>
                <c:pt idx="3">
                  <c:v>361926.3330000001</c:v>
                </c:pt>
                <c:pt idx="4">
                  <c:v>349325.47699999996</c:v>
                </c:pt>
                <c:pt idx="5">
                  <c:v>346076.69299999974</c:v>
                </c:pt>
                <c:pt idx="6">
                  <c:v>352485.14000000013</c:v>
                </c:pt>
                <c:pt idx="7">
                  <c:v>350614.46200000029</c:v>
                </c:pt>
                <c:pt idx="8">
                  <c:v>356707.81599999964</c:v>
                </c:pt>
                <c:pt idx="9">
                  <c:v>376134.74200000009</c:v>
                </c:pt>
                <c:pt idx="10">
                  <c:v>374059.55800000019</c:v>
                </c:pt>
                <c:pt idx="11">
                  <c:v>378466.3339999998</c:v>
                </c:pt>
              </c:numCache>
            </c:numRef>
          </c:val>
          <c:extLst>
            <c:ext xmlns:c16="http://schemas.microsoft.com/office/drawing/2014/chart" uri="{C3380CC4-5D6E-409C-BE32-E72D297353CC}">
              <c16:uniqueId val="{00000000-549D-4D7F-AE86-BEF5B9C0912B}"/>
            </c:ext>
          </c:extLst>
        </c:ser>
        <c:ser>
          <c:idx val="1"/>
          <c:order val="1"/>
          <c:tx>
            <c:strRef>
              <c:f>'4'!$F$339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'4'!$F$340:$F$351</c:f>
              <c:numCache>
                <c:formatCode>#,##0</c:formatCode>
                <c:ptCount val="12"/>
                <c:pt idx="0">
                  <c:v>385059.31140000006</c:v>
                </c:pt>
                <c:pt idx="1">
                  <c:v>382316.42268999986</c:v>
                </c:pt>
                <c:pt idx="2">
                  <c:v>381995.31789000006</c:v>
                </c:pt>
                <c:pt idx="3">
                  <c:v>445218.19495999976</c:v>
                </c:pt>
                <c:pt idx="4">
                  <c:v>318529.61986000021</c:v>
                </c:pt>
                <c:pt idx="5">
                  <c:v>374583.23346000025</c:v>
                </c:pt>
                <c:pt idx="6">
                  <c:v>383759.59827999957</c:v>
                </c:pt>
                <c:pt idx="7">
                  <c:v>378063.76707000053</c:v>
                </c:pt>
                <c:pt idx="8">
                  <c:v>396585.40723999962</c:v>
                </c:pt>
                <c:pt idx="9">
                  <c:v>405006.33398000011</c:v>
                </c:pt>
                <c:pt idx="10">
                  <c:v>401271.63919000002</c:v>
                </c:pt>
                <c:pt idx="11">
                  <c:v>461742.51104999986</c:v>
                </c:pt>
              </c:numCache>
            </c:numRef>
          </c:val>
          <c:extLst>
            <c:ext xmlns:c16="http://schemas.microsoft.com/office/drawing/2014/chart" uri="{C3380CC4-5D6E-409C-BE32-E72D297353CC}">
              <c16:uniqueId val="{00000001-549D-4D7F-AE86-BEF5B9C0912B}"/>
            </c:ext>
          </c:extLst>
        </c:ser>
        <c:ser>
          <c:idx val="2"/>
          <c:order val="2"/>
          <c:tx>
            <c:strRef>
              <c:f>'4'!$G$339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'4'!$G$340:$G$351</c:f>
              <c:numCache>
                <c:formatCode>#,##0</c:formatCode>
                <c:ptCount val="12"/>
                <c:pt idx="0">
                  <c:v>363386.57854000002</c:v>
                </c:pt>
                <c:pt idx="1">
                  <c:v>415266.81387999991</c:v>
                </c:pt>
                <c:pt idx="2">
                  <c:v>429396.86533000018</c:v>
                </c:pt>
                <c:pt idx="3">
                  <c:v>471917.20111999987</c:v>
                </c:pt>
                <c:pt idx="4">
                  <c:v>358954.3630700002</c:v>
                </c:pt>
                <c:pt idx="5">
                  <c:v>421128.02071999945</c:v>
                </c:pt>
                <c:pt idx="6">
                  <c:v>418536.47725000046</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097459955933772"/>
          <c:w val="0.25904724953984914"/>
          <c:h val="4.902540044066230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bilance, </a:t>
            </a:r>
            <a:r>
              <a:rPr lang="lv-LV" sz="1050" b="0" i="0" u="none" strike="noStrike" baseline="0">
                <a:effectLst/>
              </a:rPr>
              <a:t>milj.</a:t>
            </a: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 eiro</a:t>
            </a:r>
          </a:p>
        </c:rich>
      </c:tx>
      <c:layout>
        <c:manualLayout>
          <c:xMode val="edge"/>
          <c:yMode val="edge"/>
          <c:x val="0.23052889292271284"/>
          <c:y val="1.247157071085989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'4'!$H$339</c:f>
              <c:strCache>
                <c:ptCount val="1"/>
                <c:pt idx="0">
                  <c:v>2024</c:v>
                </c:pt>
              </c:strCache>
            </c:strRef>
          </c:tx>
          <c:spPr>
            <a:solidFill>
              <a:schemeClr val="accent1"/>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'4'!$H$340:$H$351</c:f>
              <c:numCache>
                <c:formatCode>#,##0</c:formatCode>
                <c:ptCount val="12"/>
                <c:pt idx="0">
                  <c:v>34837.439000000013</c:v>
                </c:pt>
                <c:pt idx="1">
                  <c:v>20635.97900000005</c:v>
                </c:pt>
                <c:pt idx="2">
                  <c:v>27777.341000000015</c:v>
                </c:pt>
                <c:pt idx="3">
                  <c:v>56293.546999999788</c:v>
                </c:pt>
                <c:pt idx="4">
                  <c:v>31496.225000000093</c:v>
                </c:pt>
                <c:pt idx="5">
                  <c:v>36894.667000000365</c:v>
                </c:pt>
                <c:pt idx="6">
                  <c:v>42130.350999999791</c:v>
                </c:pt>
                <c:pt idx="7">
                  <c:v>50780.384999999776</c:v>
                </c:pt>
                <c:pt idx="8">
                  <c:v>12885.566000000108</c:v>
                </c:pt>
                <c:pt idx="9">
                  <c:v>17933.075999999885</c:v>
                </c:pt>
                <c:pt idx="10">
                  <c:v>9234.1800000001676</c:v>
                </c:pt>
                <c:pt idx="11">
                  <c:v>-3763.7970000002533</c:v>
                </c:pt>
              </c:numCache>
            </c:numRef>
          </c:val>
          <c:extLst>
            <c:ext xmlns:c16="http://schemas.microsoft.com/office/drawing/2014/chart" uri="{C3380CC4-5D6E-409C-BE32-E72D297353CC}">
              <c16:uniqueId val="{00000000-549D-4D7F-AE86-BEF5B9C0912B}"/>
            </c:ext>
          </c:extLst>
        </c:ser>
        <c:ser>
          <c:idx val="1"/>
          <c:order val="1"/>
          <c:tx>
            <c:strRef>
              <c:f>'4'!$I$339</c:f>
              <c:strCache>
                <c:ptCount val="1"/>
                <c:pt idx="0">
                  <c:v>2025</c:v>
                </c:pt>
              </c:strCache>
            </c:strRef>
          </c:tx>
          <c:spPr>
            <a:solidFill>
              <a:schemeClr val="accent3"/>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'4'!$I$340:$I$351</c:f>
              <c:numCache>
                <c:formatCode>#,##0</c:formatCode>
                <c:ptCount val="12"/>
                <c:pt idx="0">
                  <c:v>82756.072209999897</c:v>
                </c:pt>
                <c:pt idx="1">
                  <c:v>-1511.5017999998527</c:v>
                </c:pt>
                <c:pt idx="2">
                  <c:v>17319.758219999843</c:v>
                </c:pt>
                <c:pt idx="3">
                  <c:v>-33343.89833999984</c:v>
                </c:pt>
                <c:pt idx="4">
                  <c:v>105142.67748000007</c:v>
                </c:pt>
                <c:pt idx="5">
                  <c:v>53238.271439999342</c:v>
                </c:pt>
                <c:pt idx="6">
                  <c:v>75604.766550000757</c:v>
                </c:pt>
                <c:pt idx="7">
                  <c:v>79041.977649999317</c:v>
                </c:pt>
                <c:pt idx="8">
                  <c:v>16494.140590000432</c:v>
                </c:pt>
                <c:pt idx="9">
                  <c:v>50644.218359999359</c:v>
                </c:pt>
                <c:pt idx="10">
                  <c:v>28243.656630000565</c:v>
                </c:pt>
                <c:pt idx="11">
                  <c:v>1592.7455800008029</c:v>
                </c:pt>
              </c:numCache>
            </c:numRef>
          </c:val>
          <c:extLst>
            <c:ext xmlns:c16="http://schemas.microsoft.com/office/drawing/2014/chart" uri="{C3380CC4-5D6E-409C-BE32-E72D297353CC}">
              <c16:uniqueId val="{00000001-549D-4D7F-AE86-BEF5B9C0912B}"/>
            </c:ext>
          </c:extLst>
        </c:ser>
        <c:ser>
          <c:idx val="2"/>
          <c:order val="2"/>
          <c:tx>
            <c:strRef>
              <c:f>'4'!$J$339</c:f>
              <c:strCache>
                <c:ptCount val="1"/>
                <c:pt idx="0">
                  <c:v>2026</c:v>
                </c:pt>
              </c:strCache>
            </c:strRef>
          </c:tx>
          <c:spPr>
            <a:solidFill>
              <a:schemeClr val="accent5"/>
            </a:solidFill>
            <a:ln>
              <a:noFill/>
            </a:ln>
            <a:effectLst/>
          </c:spPr>
          <c:invertIfNegative val="0"/>
          <c:cat>
            <c:strRef>
              <c:f>'4'!$A$340:$A$351</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'4'!$J$340:$J$351</c:f>
              <c:numCache>
                <c:formatCode>#,##0</c:formatCode>
                <c:ptCount val="12"/>
                <c:pt idx="0">
                  <c:v>146223.47600000002</c:v>
                </c:pt>
                <c:pt idx="1">
                  <c:v>2451.7748400000855</c:v>
                </c:pt>
                <c:pt idx="2">
                  <c:v>-2406.5055500003509</c:v>
                </c:pt>
                <c:pt idx="3">
                  <c:v>-8951.4253999998327</c:v>
                </c:pt>
                <c:pt idx="4">
                  <c:v>105470.61837999988</c:v>
                </c:pt>
                <c:pt idx="5">
                  <c:v>36725.067750000395</c:v>
                </c:pt>
                <c:pt idx="6">
                  <c:v>81002.054819999728</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3850304489634517"/>
          <c:w val="0.25904724953984914"/>
          <c:h val="6.149695510365479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Valsts speciālā budžeta ieņēmumi, % no IKP</a:t>
            </a:r>
          </a:p>
        </c:rich>
      </c:tx>
      <c:layout>
        <c:manualLayout>
          <c:xMode val="edge"/>
          <c:yMode val="edge"/>
          <c:x val="0.23049651175979943"/>
          <c:y val="1.46112747774111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'4'!$B$412</c:f>
              <c:strCache>
                <c:ptCount val="1"/>
                <c:pt idx="0">
                  <c:v>2024</c:v>
                </c:pt>
              </c:strCache>
            </c:strRef>
          </c:tx>
          <c:spPr>
            <a:solidFill>
              <a:schemeClr val="accent1"/>
            </a:solidFill>
            <a:ln>
              <a:noFill/>
            </a:ln>
            <a:effectLst/>
          </c:spPr>
          <c:invertIfNegative val="0"/>
          <c:cat>
            <c:multiLvlStrRef>
              <c:f>'4'!$A$413:$A$424</c:f>
            </c:multiLvlStrRef>
          </c:cat>
          <c:val>
            <c:numRef>
              <c:f>'4'!$B$413:$B$424</c:f>
            </c:numRef>
          </c:val>
          <c:extLst>
            <c:ext xmlns:c16="http://schemas.microsoft.com/office/drawing/2014/chart" uri="{C3380CC4-5D6E-409C-BE32-E72D297353CC}">
              <c16:uniqueId val="{00000000-549D-4D7F-AE86-BEF5B9C0912B}"/>
            </c:ext>
          </c:extLst>
        </c:ser>
        <c:ser>
          <c:idx val="1"/>
          <c:order val="1"/>
          <c:tx>
            <c:strRef>
              <c:f>'4'!$C$412</c:f>
              <c:strCache>
                <c:ptCount val="1"/>
                <c:pt idx="0">
                  <c:v>2025</c:v>
                </c:pt>
              </c:strCache>
            </c:strRef>
          </c:tx>
          <c:spPr>
            <a:solidFill>
              <a:schemeClr val="accent3"/>
            </a:solidFill>
            <a:ln>
              <a:noFill/>
            </a:ln>
            <a:effectLst/>
          </c:spPr>
          <c:invertIfNegative val="0"/>
          <c:cat>
            <c:multiLvlStrRef>
              <c:f>'4'!$A$413:$A$424</c:f>
            </c:multiLvlStrRef>
          </c:cat>
          <c:val>
            <c:numRef>
              <c:f>'4'!$C$413:$C$424</c:f>
            </c:numRef>
          </c:val>
          <c:extLst>
            <c:ext xmlns:c16="http://schemas.microsoft.com/office/drawing/2014/chart" uri="{C3380CC4-5D6E-409C-BE32-E72D297353CC}">
              <c16:uniqueId val="{00000001-549D-4D7F-AE86-BEF5B9C0912B}"/>
            </c:ext>
          </c:extLst>
        </c:ser>
        <c:ser>
          <c:idx val="2"/>
          <c:order val="2"/>
          <c:tx>
            <c:strRef>
              <c:f>'4'!$D$412</c:f>
              <c:strCache>
                <c:ptCount val="1"/>
                <c:pt idx="0">
                  <c:v>2026</c:v>
                </c:pt>
              </c:strCache>
            </c:strRef>
          </c:tx>
          <c:spPr>
            <a:solidFill>
              <a:schemeClr val="accent5"/>
            </a:solidFill>
            <a:ln>
              <a:noFill/>
            </a:ln>
            <a:effectLst/>
          </c:spPr>
          <c:invertIfNegative val="0"/>
          <c:cat>
            <c:multiLvlStrRef>
              <c:f>'4'!$A$413:$A$424</c:f>
            </c:multiLvlStrRef>
          </c:cat>
          <c:val>
            <c:numRef>
              <c:f>'4'!$D$413:$D$424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1930905609500981"/>
          <c:y val="0.95102277715661154"/>
          <c:w val="0.25904724953984914"/>
          <c:h val="4.897726322623164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a:latin typeface="Verdana" panose="020B0604030504040204" pitchFamily="34" charset="0"/>
                <a:ea typeface="Verdana" panose="020B0604030504040204" pitchFamily="34" charset="0"/>
              </a:rPr>
              <a:t>Pašvaldību budžeta ieņēmumi, </a:t>
            </a:r>
            <a:r>
              <a:rPr lang="lv-LV" sz="1050" b="0" i="0" u="none" strike="noStrike" baseline="0">
                <a:effectLst/>
              </a:rPr>
              <a:t>milj.</a:t>
            </a:r>
            <a:r>
              <a:rPr lang="lv-LV" sz="1050">
                <a:latin typeface="Verdana" panose="020B0604030504040204" pitchFamily="34" charset="0"/>
                <a:ea typeface="Verdana" panose="020B0604030504040204" pitchFamily="34" charset="0"/>
              </a:rPr>
              <a:t> eiro</a:t>
            </a:r>
          </a:p>
        </c:rich>
      </c:tx>
      <c:layout>
        <c:manualLayout>
          <c:xMode val="edge"/>
          <c:yMode val="edge"/>
          <c:x val="0.232696837972583"/>
          <c:y val="1.24715707108598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'4'!$B$632:$B$643</c:f>
              <c:numCache>
                <c:formatCode>#,##0</c:formatCode>
                <c:ptCount val="12"/>
                <c:pt idx="0">
                  <c:v>330116.00300000003</c:v>
                </c:pt>
                <c:pt idx="1">
                  <c:v>323221.28700000001</c:v>
                </c:pt>
                <c:pt idx="2">
                  <c:v>219856.022</c:v>
                </c:pt>
                <c:pt idx="3">
                  <c:v>320943.46199999994</c:v>
                </c:pt>
                <c:pt idx="4">
                  <c:v>302319.49399999995</c:v>
                </c:pt>
                <c:pt idx="5">
                  <c:v>389767.87000000011</c:v>
                </c:pt>
                <c:pt idx="6">
                  <c:v>289656.17000000016</c:v>
                </c:pt>
                <c:pt idx="7">
                  <c:v>296848.35499999998</c:v>
                </c:pt>
                <c:pt idx="8">
                  <c:v>280160.77499999991</c:v>
                </c:pt>
                <c:pt idx="9">
                  <c:v>345163.73</c:v>
                </c:pt>
                <c:pt idx="10">
                  <c:v>329799.11700000009</c:v>
                </c:pt>
                <c:pt idx="11">
                  <c:v>323092.44799999986</c:v>
                </c:pt>
              </c:numCache>
            </c:numRef>
          </c:val>
          <c:extLst>
            <c:ext xmlns:c16="http://schemas.microsoft.com/office/drawing/2014/chart" uri="{C3380CC4-5D6E-409C-BE32-E72D297353CC}">
              <c16:uniqueId val="{00000000-549D-4D7F-AE86-BEF5B9C0912B}"/>
            </c:ext>
          </c:extLst>
        </c:ser>
        <c:ser>
          <c:idx val="1"/>
          <c:order val="1"/>
          <c:tx>
            <c:strRef>
              <c:f>'4'!$C$631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'4'!$C$632:$C$643</c:f>
              <c:numCache>
                <c:formatCode>#,##0</c:formatCode>
                <c:ptCount val="12"/>
                <c:pt idx="0">
                  <c:v>334083.38199999998</c:v>
                </c:pt>
                <c:pt idx="1">
                  <c:v>321429.95799999998</c:v>
                </c:pt>
                <c:pt idx="2">
                  <c:v>330721.73600000003</c:v>
                </c:pt>
                <c:pt idx="3">
                  <c:v>337077.96400000004</c:v>
                </c:pt>
                <c:pt idx="4">
                  <c:v>326788.99300000002</c:v>
                </c:pt>
                <c:pt idx="5">
                  <c:v>409175.67099999986</c:v>
                </c:pt>
                <c:pt idx="6">
                  <c:v>294069.5410000002</c:v>
                </c:pt>
                <c:pt idx="7">
                  <c:v>296799.60399999982</c:v>
                </c:pt>
                <c:pt idx="8">
                  <c:v>348082.16399999987</c:v>
                </c:pt>
                <c:pt idx="9">
                  <c:v>357995.53200000012</c:v>
                </c:pt>
                <c:pt idx="10">
                  <c:v>345289.05599999987</c:v>
                </c:pt>
                <c:pt idx="11">
                  <c:v>359958.63500000024</c:v>
                </c:pt>
              </c:numCache>
            </c:numRef>
          </c:val>
          <c:extLst>
            <c:ext xmlns:c16="http://schemas.microsoft.com/office/drawing/2014/chart" uri="{C3380CC4-5D6E-409C-BE32-E72D297353CC}">
              <c16:uniqueId val="{00000001-549D-4D7F-AE86-BEF5B9C0912B}"/>
            </c:ext>
          </c:extLst>
        </c:ser>
        <c:ser>
          <c:idx val="2"/>
          <c:order val="2"/>
          <c:tx>
            <c:strRef>
              <c:f>'4'!$D$631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'4'!$D$632:$D$643</c:f>
              <c:numCache>
                <c:formatCode>#,##0</c:formatCode>
                <c:ptCount val="12"/>
                <c:pt idx="0">
                  <c:v>326812.48599999998</c:v>
                </c:pt>
                <c:pt idx="1">
                  <c:v>360121.51400000002</c:v>
                </c:pt>
                <c:pt idx="2">
                  <c:v>347743.15300000005</c:v>
                </c:pt>
                <c:pt idx="3">
                  <c:v>336301.75699999987</c:v>
                </c:pt>
                <c:pt idx="4">
                  <c:v>336450.34400000004</c:v>
                </c:pt>
                <c:pt idx="5">
                  <c:v>409781.15399999986</c:v>
                </c:pt>
                <c:pt idx="6">
                  <c:v>310599.56000000006</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63446186318065"/>
          <c:w val="0.25904724953984914"/>
          <c:h val="3.655381368193501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Pašvaldību budžeta ieņēmumi, % no IKP</a:t>
            </a:r>
          </a:p>
        </c:rich>
      </c:tx>
      <c:layout>
        <c:manualLayout>
          <c:xMode val="edge"/>
          <c:yMode val="edge"/>
          <c:x val="0.25082870769357674"/>
          <c:y val="1.4611269986681557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'4'!$B$704</c:f>
              <c:strCache>
                <c:ptCount val="1"/>
                <c:pt idx="0">
                  <c:v>2024</c:v>
                </c:pt>
              </c:strCache>
            </c:strRef>
          </c:tx>
          <c:spPr>
            <a:solidFill>
              <a:schemeClr val="accent1"/>
            </a:solidFill>
            <a:ln>
              <a:noFill/>
            </a:ln>
            <a:effectLst/>
          </c:spPr>
          <c:invertIfNegative val="0"/>
          <c:cat>
            <c:multiLvlStrRef>
              <c:f>'4'!$A$705:$A$716</c:f>
            </c:multiLvlStrRef>
          </c:cat>
          <c:val>
            <c:numRef>
              <c:f>'4'!$B$705:$B$716</c:f>
            </c:numRef>
          </c:val>
          <c:extLst>
            <c:ext xmlns:c16="http://schemas.microsoft.com/office/drawing/2014/chart" uri="{C3380CC4-5D6E-409C-BE32-E72D297353CC}">
              <c16:uniqueId val="{00000000-549D-4D7F-AE86-BEF5B9C0912B}"/>
            </c:ext>
          </c:extLst>
        </c:ser>
        <c:ser>
          <c:idx val="1"/>
          <c:order val="1"/>
          <c:tx>
            <c:strRef>
              <c:f>'4'!$C$704</c:f>
              <c:strCache>
                <c:ptCount val="1"/>
                <c:pt idx="0">
                  <c:v>2025</c:v>
                </c:pt>
              </c:strCache>
            </c:strRef>
          </c:tx>
          <c:spPr>
            <a:solidFill>
              <a:schemeClr val="accent3"/>
            </a:solidFill>
            <a:ln>
              <a:noFill/>
            </a:ln>
            <a:effectLst/>
          </c:spPr>
          <c:invertIfNegative val="0"/>
          <c:cat>
            <c:multiLvlStrRef>
              <c:f>'4'!$A$705:$A$716</c:f>
            </c:multiLvlStrRef>
          </c:cat>
          <c:val>
            <c:numRef>
              <c:f>'4'!$C$705:$C$716</c:f>
            </c:numRef>
          </c:val>
          <c:extLst>
            <c:ext xmlns:c16="http://schemas.microsoft.com/office/drawing/2014/chart" uri="{C3380CC4-5D6E-409C-BE32-E72D297353CC}">
              <c16:uniqueId val="{00000001-549D-4D7F-AE86-BEF5B9C0912B}"/>
            </c:ext>
          </c:extLst>
        </c:ser>
        <c:ser>
          <c:idx val="2"/>
          <c:order val="2"/>
          <c:tx>
            <c:strRef>
              <c:f>'4'!$D$704</c:f>
              <c:strCache>
                <c:ptCount val="1"/>
                <c:pt idx="0">
                  <c:v>2026</c:v>
                </c:pt>
              </c:strCache>
            </c:strRef>
          </c:tx>
          <c:spPr>
            <a:solidFill>
              <a:schemeClr val="accent5"/>
            </a:solidFill>
            <a:ln>
              <a:noFill/>
            </a:ln>
            <a:effectLst/>
          </c:spPr>
          <c:invertIfNegative val="0"/>
          <c:cat>
            <c:multiLvlStrRef>
              <c:f>'4'!$A$705:$A$716</c:f>
            </c:multiLvlStrRef>
          </c:cat>
          <c:val>
            <c:numRef>
              <c:f>'4'!$D$705:$D$716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02275283238236"/>
          <c:w val="0.25904724953984914"/>
          <c:h val="4.897724716761763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7606794258411794E-2"/>
          <c:y val="3.6800875057202398E-4"/>
        </c:manualLayout>
      </c:layout>
      <c:overlay val="0"/>
      <c:spPr>
        <a:noFill/>
        <a:ln>
          <a:noFill/>
        </a:ln>
        <a:effectLst/>
      </c:spPr>
      <c:txPr>
        <a:bodyPr rot="0" spcFirstLastPara="1" vertOverflow="ellipsis" vert="horz" wrap="square" anchor="ctr" anchorCtr="1"/>
        <a:lstStyle/>
        <a:p>
          <a:pPr>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7046809501258848E-2"/>
          <c:w val="0.88254396325459317"/>
          <c:h val="0.75223507914260979"/>
        </c:manualLayout>
      </c:layout>
      <c:barChart>
        <c:barDir val="col"/>
        <c:grouping val="clustered"/>
        <c:varyColors val="0"/>
        <c:ser>
          <c:idx val="0"/>
          <c:order val="0"/>
          <c:tx>
            <c:strRef>
              <c:f>'2'!$B$100</c:f>
              <c:strCache>
                <c:ptCount val="1"/>
                <c:pt idx="0">
                  <c:v>2025</c:v>
                </c:pt>
              </c:strCache>
            </c:strRef>
          </c:tx>
          <c:spPr>
            <a:solidFill>
              <a:schemeClr val="accent1"/>
            </a:solidFill>
            <a:ln>
              <a:noFill/>
            </a:ln>
            <a:effectLst/>
          </c:spPr>
          <c:invertIfNegative val="0"/>
          <c:cat>
            <c:strRef>
              <c:f>'2'!$A$101:$A$112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'2'!$B$101:$B$112</c:f>
              <c:numCache>
                <c:formatCode>#,##0</c:formatCode>
                <c:ptCount val="12"/>
                <c:pt idx="0">
                  <c:v>-125998.94214000006</c:v>
                </c:pt>
                <c:pt idx="1">
                  <c:v>-273078.73288000003</c:v>
                </c:pt>
                <c:pt idx="2">
                  <c:v>-767290.24922999926</c:v>
                </c:pt>
                <c:pt idx="3">
                  <c:v>-985219.2032999997</c:v>
                </c:pt>
                <c:pt idx="4">
                  <c:v>-757023.47642999981</c:v>
                </c:pt>
                <c:pt idx="5">
                  <c:v>-692882.08487999998</c:v>
                </c:pt>
                <c:pt idx="6">
                  <c:v>-887129.45842000004</c:v>
                </c:pt>
                <c:pt idx="7">
                  <c:v>-811578.87555000093</c:v>
                </c:pt>
                <c:pt idx="8">
                  <c:v>-1110222.2715500006</c:v>
                </c:pt>
                <c:pt idx="9">
                  <c:v>-1464583.6548000006</c:v>
                </c:pt>
                <c:pt idx="10">
                  <c:v>-1688408.2127600014</c:v>
                </c:pt>
                <c:pt idx="11">
                  <c:v>-2222162.9883600008</c:v>
                </c:pt>
              </c:numCache>
            </c:numRef>
          </c:val>
          <c:extLst>
            <c:ext xmlns:c16="http://schemas.microsoft.com/office/drawing/2014/chart" uri="{C3380CC4-5D6E-409C-BE32-E72D297353CC}">
              <c16:uniqueId val="{00000000-549D-4D7F-AE86-BEF5B9C0912B}"/>
            </c:ext>
          </c:extLst>
        </c:ser>
        <c:ser>
          <c:idx val="1"/>
          <c:order val="1"/>
          <c:tx>
            <c:strRef>
              <c:f>'2'!$C$100</c:f>
              <c:strCache>
                <c:ptCount val="1"/>
                <c:pt idx="0">
                  <c:v>2026</c:v>
                </c:pt>
              </c:strCache>
            </c:strRef>
          </c:tx>
          <c:spPr>
            <a:solidFill>
              <a:schemeClr val="accent3"/>
            </a:solidFill>
            <a:ln>
              <a:noFill/>
            </a:ln>
            <a:effectLst/>
          </c:spPr>
          <c:invertIfNegative val="0"/>
          <c:cat>
            <c:strRef>
              <c:f>'2'!$A$101:$A$112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'2'!$C$101:$C$112</c:f>
              <c:numCache>
                <c:formatCode>#,##0</c:formatCode>
                <c:ptCount val="12"/>
                <c:pt idx="0">
                  <c:v>-250336.72837999999</c:v>
                </c:pt>
                <c:pt idx="1">
                  <c:v>156006.38298999984</c:v>
                </c:pt>
                <c:pt idx="2">
                  <c:v>-272031.90470999992</c:v>
                </c:pt>
                <c:pt idx="3">
                  <c:v>-421228.49941000063</c:v>
                </c:pt>
                <c:pt idx="4">
                  <c:v>-206142.10567999911</c:v>
                </c:pt>
                <c:pt idx="5">
                  <c:v>-176686.95756000001</c:v>
                </c:pt>
                <c:pt idx="6">
                  <c:v>-413083.07550999988</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budžeta izdevumi, % no IKP</a:t>
            </a:r>
          </a:p>
        </c:rich>
      </c:tx>
      <c:layout>
        <c:manualLayout>
          <c:xMode val="edge"/>
          <c:yMode val="edge"/>
          <c:x val="0.24080350061285979"/>
          <c:y val="1.4611269986681557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'4'!$E$412</c:f>
              <c:strCache>
                <c:ptCount val="1"/>
                <c:pt idx="0">
                  <c:v>2024</c:v>
                </c:pt>
              </c:strCache>
            </c:strRef>
          </c:tx>
          <c:spPr>
            <a:solidFill>
              <a:schemeClr val="accent1"/>
            </a:solidFill>
            <a:ln>
              <a:noFill/>
            </a:ln>
            <a:effectLst/>
          </c:spPr>
          <c:invertIfNegative val="0"/>
          <c:cat>
            <c:multiLvlStrRef>
              <c:f>'4'!$A$413:$A$424</c:f>
            </c:multiLvlStrRef>
          </c:cat>
          <c:val>
            <c:numRef>
              <c:f>'4'!$E$413:$E$424</c:f>
            </c:numRef>
          </c:val>
          <c:extLst>
            <c:ext xmlns:c16="http://schemas.microsoft.com/office/drawing/2014/chart" uri="{C3380CC4-5D6E-409C-BE32-E72D297353CC}">
              <c16:uniqueId val="{00000000-549D-4D7F-AE86-BEF5B9C0912B}"/>
            </c:ext>
          </c:extLst>
        </c:ser>
        <c:ser>
          <c:idx val="1"/>
          <c:order val="1"/>
          <c:tx>
            <c:strRef>
              <c:f>'4'!$F$412</c:f>
              <c:strCache>
                <c:ptCount val="1"/>
                <c:pt idx="0">
                  <c:v>2025</c:v>
                </c:pt>
              </c:strCache>
            </c:strRef>
          </c:tx>
          <c:spPr>
            <a:solidFill>
              <a:schemeClr val="accent3"/>
            </a:solidFill>
            <a:ln>
              <a:noFill/>
            </a:ln>
            <a:effectLst/>
          </c:spPr>
          <c:invertIfNegative val="0"/>
          <c:cat>
            <c:multiLvlStrRef>
              <c:f>'4'!$A$413:$A$424</c:f>
            </c:multiLvlStrRef>
          </c:cat>
          <c:val>
            <c:numRef>
              <c:f>'4'!$F$413:$F$424</c:f>
            </c:numRef>
          </c:val>
          <c:extLst>
            <c:ext xmlns:c16="http://schemas.microsoft.com/office/drawing/2014/chart" uri="{C3380CC4-5D6E-409C-BE32-E72D297353CC}">
              <c16:uniqueId val="{00000001-549D-4D7F-AE86-BEF5B9C0912B}"/>
            </c:ext>
          </c:extLst>
        </c:ser>
        <c:ser>
          <c:idx val="2"/>
          <c:order val="2"/>
          <c:tx>
            <c:strRef>
              <c:f>'4'!$G$412</c:f>
              <c:strCache>
                <c:ptCount val="1"/>
                <c:pt idx="0">
                  <c:v>2026</c:v>
                </c:pt>
              </c:strCache>
            </c:strRef>
          </c:tx>
          <c:spPr>
            <a:solidFill>
              <a:schemeClr val="accent5"/>
            </a:solidFill>
            <a:ln>
              <a:noFill/>
            </a:ln>
            <a:effectLst/>
          </c:spPr>
          <c:invertIfNegative val="0"/>
          <c:cat>
            <c:multiLvlStrRef>
              <c:f>'4'!$A$413:$A$424</c:f>
            </c:multiLvlStrRef>
          </c:cat>
          <c:val>
            <c:numRef>
              <c:f>'4'!$G$413:$G$424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29875422226206561"/>
          <c:y val="0.95102279430168712"/>
          <c:w val="0.25904724953984914"/>
          <c:h val="4.897724716761763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budžeta bilance, % no IKP</a:t>
            </a:r>
          </a:p>
        </c:rich>
      </c:tx>
      <c:layout>
        <c:manualLayout>
          <c:xMode val="edge"/>
          <c:yMode val="edge"/>
          <c:x val="0.22300675709546133"/>
          <c:y val="1.8800749984826132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'4'!$H$412</c:f>
              <c:strCache>
                <c:ptCount val="1"/>
                <c:pt idx="0">
                  <c:v>2024</c:v>
                </c:pt>
              </c:strCache>
            </c:strRef>
          </c:tx>
          <c:spPr>
            <a:solidFill>
              <a:schemeClr val="accent1"/>
            </a:solidFill>
            <a:ln>
              <a:noFill/>
            </a:ln>
            <a:effectLst/>
          </c:spPr>
          <c:invertIfNegative val="0"/>
          <c:cat>
            <c:multiLvlStrRef>
              <c:f>'4'!$A$413:$A$424</c:f>
            </c:multiLvlStrRef>
          </c:cat>
          <c:val>
            <c:numRef>
              <c:f>'4'!$H$413:$H$424</c:f>
            </c:numRef>
          </c:val>
          <c:extLst>
            <c:ext xmlns:c16="http://schemas.microsoft.com/office/drawing/2014/chart" uri="{C3380CC4-5D6E-409C-BE32-E72D297353CC}">
              <c16:uniqueId val="{00000000-549D-4D7F-AE86-BEF5B9C0912B}"/>
            </c:ext>
          </c:extLst>
        </c:ser>
        <c:ser>
          <c:idx val="1"/>
          <c:order val="1"/>
          <c:tx>
            <c:strRef>
              <c:f>'4'!$I$412</c:f>
              <c:strCache>
                <c:ptCount val="1"/>
                <c:pt idx="0">
                  <c:v>2025</c:v>
                </c:pt>
              </c:strCache>
            </c:strRef>
          </c:tx>
          <c:spPr>
            <a:solidFill>
              <a:schemeClr val="accent3"/>
            </a:solidFill>
            <a:ln>
              <a:noFill/>
            </a:ln>
            <a:effectLst/>
          </c:spPr>
          <c:invertIfNegative val="0"/>
          <c:cat>
            <c:multiLvlStrRef>
              <c:f>'4'!$A$413:$A$424</c:f>
            </c:multiLvlStrRef>
          </c:cat>
          <c:val>
            <c:numRef>
              <c:f>'4'!$I$413:$I$424</c:f>
            </c:numRef>
          </c:val>
          <c:extLst>
            <c:ext xmlns:c16="http://schemas.microsoft.com/office/drawing/2014/chart" uri="{C3380CC4-5D6E-409C-BE32-E72D297353CC}">
              <c16:uniqueId val="{00000001-549D-4D7F-AE86-BEF5B9C0912B}"/>
            </c:ext>
          </c:extLst>
        </c:ser>
        <c:ser>
          <c:idx val="2"/>
          <c:order val="2"/>
          <c:tx>
            <c:strRef>
              <c:f>'4'!$J$412</c:f>
              <c:strCache>
                <c:ptCount val="1"/>
                <c:pt idx="0">
                  <c:v>2026</c:v>
                </c:pt>
              </c:strCache>
            </c:strRef>
          </c:tx>
          <c:spPr>
            <a:solidFill>
              <a:schemeClr val="accent5"/>
            </a:solidFill>
            <a:ln>
              <a:noFill/>
            </a:ln>
            <a:effectLst/>
          </c:spPr>
          <c:invertIfNegative val="0"/>
          <c:cat>
            <c:multiLvlStrRef>
              <c:f>'4'!$A$413:$A$424</c:f>
            </c:multiLvlStrRef>
          </c:cat>
          <c:val>
            <c:numRef>
              <c:f>'4'!$J$413:$J$424</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11995271031638"/>
          <c:w val="0.25904724953984914"/>
          <c:h val="4.880047289683618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izdevumi,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21270654585656926"/>
          <c:y val="1.6628755504592713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'4'!$E$632:$E$643</c:f>
              <c:numCache>
                <c:formatCode>#,##0</c:formatCode>
                <c:ptCount val="12"/>
                <c:pt idx="0">
                  <c:v>243159.27299999999</c:v>
                </c:pt>
                <c:pt idx="1">
                  <c:v>282000.26000000007</c:v>
                </c:pt>
                <c:pt idx="2">
                  <c:v>280186.84999999998</c:v>
                </c:pt>
                <c:pt idx="3">
                  <c:v>309610.59600000002</c:v>
                </c:pt>
                <c:pt idx="4">
                  <c:v>304271.2209999999</c:v>
                </c:pt>
                <c:pt idx="5">
                  <c:v>371345.66500000004</c:v>
                </c:pt>
                <c:pt idx="6">
                  <c:v>327048.54500000016</c:v>
                </c:pt>
                <c:pt idx="7">
                  <c:v>270215.54099999974</c:v>
                </c:pt>
                <c:pt idx="8">
                  <c:v>255439.60900000017</c:v>
                </c:pt>
                <c:pt idx="9">
                  <c:v>338892.42100000009</c:v>
                </c:pt>
                <c:pt idx="10">
                  <c:v>344569.24099999992</c:v>
                </c:pt>
                <c:pt idx="11">
                  <c:v>472492.17599999998</c:v>
                </c:pt>
              </c:numCache>
            </c:numRef>
          </c:val>
          <c:extLst>
            <c:ext xmlns:c16="http://schemas.microsoft.com/office/drawing/2014/chart" uri="{C3380CC4-5D6E-409C-BE32-E72D297353CC}">
              <c16:uniqueId val="{00000000-549D-4D7F-AE86-BEF5B9C0912B}"/>
            </c:ext>
          </c:extLst>
        </c:ser>
        <c:ser>
          <c:idx val="1"/>
          <c:order val="1"/>
          <c:tx>
            <c:strRef>
              <c:f>'4'!$F$631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'4'!$F$632:$F$643</c:f>
              <c:numCache>
                <c:formatCode>#,##0</c:formatCode>
                <c:ptCount val="12"/>
                <c:pt idx="0">
                  <c:v>265006.16800000001</c:v>
                </c:pt>
                <c:pt idx="1">
                  <c:v>285813.94100000005</c:v>
                </c:pt>
                <c:pt idx="2">
                  <c:v>301165.06499999994</c:v>
                </c:pt>
                <c:pt idx="3">
                  <c:v>352750.26800000004</c:v>
                </c:pt>
                <c:pt idx="4">
                  <c:v>324599.27899999986</c:v>
                </c:pt>
                <c:pt idx="5">
                  <c:v>398514.71299999999</c:v>
                </c:pt>
                <c:pt idx="6">
                  <c:v>363864.67200000025</c:v>
                </c:pt>
                <c:pt idx="7">
                  <c:v>292342.72699999996</c:v>
                </c:pt>
                <c:pt idx="8">
                  <c:v>310724.86599999992</c:v>
                </c:pt>
                <c:pt idx="9">
                  <c:v>376172.44100000011</c:v>
                </c:pt>
                <c:pt idx="10">
                  <c:v>346244.16999999993</c:v>
                </c:pt>
                <c:pt idx="11">
                  <c:v>491484.68399999989</c:v>
                </c:pt>
              </c:numCache>
            </c:numRef>
          </c:val>
          <c:extLst>
            <c:ext xmlns:c16="http://schemas.microsoft.com/office/drawing/2014/chart" uri="{C3380CC4-5D6E-409C-BE32-E72D297353CC}">
              <c16:uniqueId val="{00000001-549D-4D7F-AE86-BEF5B9C0912B}"/>
            </c:ext>
          </c:extLst>
        </c:ser>
        <c:ser>
          <c:idx val="2"/>
          <c:order val="2"/>
          <c:tx>
            <c:strRef>
              <c:f>'4'!$G$631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'4'!$G$632:$G$643</c:f>
              <c:numCache>
                <c:formatCode>#,##0</c:formatCode>
                <c:ptCount val="12"/>
                <c:pt idx="0">
                  <c:v>275801.37800000003</c:v>
                </c:pt>
                <c:pt idx="1">
                  <c:v>313474.62199999997</c:v>
                </c:pt>
                <c:pt idx="2">
                  <c:v>331709.478</c:v>
                </c:pt>
                <c:pt idx="3">
                  <c:v>338655.40399999998</c:v>
                </c:pt>
                <c:pt idx="4">
                  <c:v>325861.51900000009</c:v>
                </c:pt>
                <c:pt idx="5">
                  <c:v>420540.473</c:v>
                </c:pt>
                <c:pt idx="6">
                  <c:v>378769.01099999971</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513182053121015"/>
          <c:w val="0.25904724953984914"/>
          <c:h val="4.4868179468789821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23769441100158645"/>
          <c:y val="1.2547051442910916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'4'!$H$631</c:f>
              <c:strCache>
                <c:ptCount val="1"/>
                <c:pt idx="0">
                  <c:v>2024</c:v>
                </c:pt>
              </c:strCache>
            </c:strRef>
          </c:tx>
          <c:spPr>
            <a:solidFill>
              <a:schemeClr val="accent1"/>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'4'!$H$632:$H$643</c:f>
              <c:numCache>
                <c:formatCode>#,##0</c:formatCode>
                <c:ptCount val="12"/>
                <c:pt idx="0">
                  <c:v>86956.73000000004</c:v>
                </c:pt>
                <c:pt idx="1">
                  <c:v>41221.026999999944</c:v>
                </c:pt>
                <c:pt idx="2">
                  <c:v>-60330.82799999998</c:v>
                </c:pt>
                <c:pt idx="3">
                  <c:v>11332.865999999922</c:v>
                </c:pt>
                <c:pt idx="4">
                  <c:v>-1951.7269999999553</c:v>
                </c:pt>
                <c:pt idx="5">
                  <c:v>18422.205000000075</c:v>
                </c:pt>
                <c:pt idx="6">
                  <c:v>-37392.375</c:v>
                </c:pt>
                <c:pt idx="7">
                  <c:v>26632.814000000246</c:v>
                </c:pt>
                <c:pt idx="8">
                  <c:v>24721.165999999736</c:v>
                </c:pt>
                <c:pt idx="9">
                  <c:v>6271.308999999892</c:v>
                </c:pt>
                <c:pt idx="10">
                  <c:v>-14770.123999999836</c:v>
                </c:pt>
                <c:pt idx="11">
                  <c:v>-149399.72800000012</c:v>
                </c:pt>
              </c:numCache>
            </c:numRef>
          </c:val>
          <c:extLst>
            <c:ext xmlns:c16="http://schemas.microsoft.com/office/drawing/2014/chart" uri="{C3380CC4-5D6E-409C-BE32-E72D297353CC}">
              <c16:uniqueId val="{00000000-549D-4D7F-AE86-BEF5B9C0912B}"/>
            </c:ext>
          </c:extLst>
        </c:ser>
        <c:ser>
          <c:idx val="1"/>
          <c:order val="1"/>
          <c:tx>
            <c:strRef>
              <c:f>'4'!$I$631</c:f>
              <c:strCache>
                <c:ptCount val="1"/>
                <c:pt idx="0">
                  <c:v>2025</c:v>
                </c:pt>
              </c:strCache>
            </c:strRef>
          </c:tx>
          <c:spPr>
            <a:solidFill>
              <a:schemeClr val="accent3"/>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'4'!$I$632:$I$643</c:f>
              <c:numCache>
                <c:formatCode>#,##0</c:formatCode>
                <c:ptCount val="12"/>
                <c:pt idx="0">
                  <c:v>69077.213999999978</c:v>
                </c:pt>
                <c:pt idx="1">
                  <c:v>35616.016999999934</c:v>
                </c:pt>
                <c:pt idx="2">
                  <c:v>29556.671000000089</c:v>
                </c:pt>
                <c:pt idx="3">
                  <c:v>-15672.304000000004</c:v>
                </c:pt>
                <c:pt idx="4">
                  <c:v>2189.7140000001527</c:v>
                </c:pt>
                <c:pt idx="5">
                  <c:v>10660.957999999868</c:v>
                </c:pt>
                <c:pt idx="6">
                  <c:v>-69795.131000000052</c:v>
                </c:pt>
                <c:pt idx="7">
                  <c:v>4456.8769999998622</c:v>
                </c:pt>
                <c:pt idx="8">
                  <c:v>37357.297999999952</c:v>
                </c:pt>
                <c:pt idx="9">
                  <c:v>-18176.908999999985</c:v>
                </c:pt>
                <c:pt idx="10">
                  <c:v>-955.1140000000596</c:v>
                </c:pt>
                <c:pt idx="11">
                  <c:v>-131526.04899999965</c:v>
                </c:pt>
              </c:numCache>
            </c:numRef>
          </c:val>
          <c:extLst>
            <c:ext xmlns:c16="http://schemas.microsoft.com/office/drawing/2014/chart" uri="{C3380CC4-5D6E-409C-BE32-E72D297353CC}">
              <c16:uniqueId val="{00000001-549D-4D7F-AE86-BEF5B9C0912B}"/>
            </c:ext>
          </c:extLst>
        </c:ser>
        <c:ser>
          <c:idx val="2"/>
          <c:order val="2"/>
          <c:tx>
            <c:strRef>
              <c:f>'4'!$J$631</c:f>
              <c:strCache>
                <c:ptCount val="1"/>
                <c:pt idx="0">
                  <c:v>2026</c:v>
                </c:pt>
              </c:strCache>
            </c:strRef>
          </c:tx>
          <c:spPr>
            <a:solidFill>
              <a:schemeClr val="accent5"/>
            </a:solidFill>
            <a:ln>
              <a:noFill/>
            </a:ln>
            <a:effectLst/>
          </c:spPr>
          <c:invertIfNegative val="0"/>
          <c:cat>
            <c:strRef>
              <c:f>'4'!$A$632:$A$643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'4'!$J$632:$J$643</c:f>
              <c:numCache>
                <c:formatCode>#,##0</c:formatCode>
                <c:ptCount val="12"/>
                <c:pt idx="0">
                  <c:v>51011.107999999949</c:v>
                </c:pt>
                <c:pt idx="1">
                  <c:v>46646.892000000051</c:v>
                </c:pt>
                <c:pt idx="2">
                  <c:v>16033.675000000047</c:v>
                </c:pt>
                <c:pt idx="3">
                  <c:v>-2353.6470000001136</c:v>
                </c:pt>
                <c:pt idx="4">
                  <c:v>10588.824999999953</c:v>
                </c:pt>
                <c:pt idx="5">
                  <c:v>-10759.319000000134</c:v>
                </c:pt>
                <c:pt idx="6">
                  <c:v>-68169.450999999652</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53331555011082"/>
          <c:w val="0.25904724953984914"/>
          <c:h val="4.466684449889184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rPr>
              <a:t>Pašvaldību budžeta izdevumi, % no IKP</a:t>
            </a:r>
          </a:p>
        </c:rich>
      </c:tx>
      <c:layout>
        <c:manualLayout>
          <c:xMode val="edge"/>
          <c:yMode val="edge"/>
          <c:x val="0.25082870769357674"/>
          <c:y val="1.461144347009165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'4'!$E$704</c:f>
              <c:strCache>
                <c:ptCount val="1"/>
                <c:pt idx="0">
                  <c:v>2024</c:v>
                </c:pt>
              </c:strCache>
            </c:strRef>
          </c:tx>
          <c:spPr>
            <a:solidFill>
              <a:schemeClr val="accent1"/>
            </a:solidFill>
            <a:ln>
              <a:noFill/>
            </a:ln>
            <a:effectLst/>
          </c:spPr>
          <c:invertIfNegative val="0"/>
          <c:cat>
            <c:multiLvlStrRef>
              <c:f>'4'!$A$705:$A$716</c:f>
            </c:multiLvlStrRef>
          </c:cat>
          <c:val>
            <c:numRef>
              <c:f>'4'!$E$705:$E$716</c:f>
            </c:numRef>
          </c:val>
          <c:extLst>
            <c:ext xmlns:c16="http://schemas.microsoft.com/office/drawing/2014/chart" uri="{C3380CC4-5D6E-409C-BE32-E72D297353CC}">
              <c16:uniqueId val="{00000000-549D-4D7F-AE86-BEF5B9C0912B}"/>
            </c:ext>
          </c:extLst>
        </c:ser>
        <c:ser>
          <c:idx val="1"/>
          <c:order val="1"/>
          <c:tx>
            <c:strRef>
              <c:f>'4'!$F$704</c:f>
              <c:strCache>
                <c:ptCount val="1"/>
                <c:pt idx="0">
                  <c:v>2025</c:v>
                </c:pt>
              </c:strCache>
            </c:strRef>
          </c:tx>
          <c:spPr>
            <a:solidFill>
              <a:schemeClr val="accent3"/>
            </a:solidFill>
            <a:ln>
              <a:noFill/>
            </a:ln>
            <a:effectLst/>
          </c:spPr>
          <c:invertIfNegative val="0"/>
          <c:cat>
            <c:multiLvlStrRef>
              <c:f>'4'!$A$705:$A$716</c:f>
            </c:multiLvlStrRef>
          </c:cat>
          <c:val>
            <c:numRef>
              <c:f>'4'!$F$705:$F$716</c:f>
            </c:numRef>
          </c:val>
          <c:extLst>
            <c:ext xmlns:c16="http://schemas.microsoft.com/office/drawing/2014/chart" uri="{C3380CC4-5D6E-409C-BE32-E72D297353CC}">
              <c16:uniqueId val="{00000001-549D-4D7F-AE86-BEF5B9C0912B}"/>
            </c:ext>
          </c:extLst>
        </c:ser>
        <c:ser>
          <c:idx val="2"/>
          <c:order val="2"/>
          <c:tx>
            <c:strRef>
              <c:f>'4'!$G$704</c:f>
              <c:strCache>
                <c:ptCount val="1"/>
                <c:pt idx="0">
                  <c:v>2026</c:v>
                </c:pt>
              </c:strCache>
            </c:strRef>
          </c:tx>
          <c:spPr>
            <a:solidFill>
              <a:schemeClr val="accent5"/>
            </a:solidFill>
            <a:ln>
              <a:noFill/>
            </a:ln>
            <a:effectLst/>
          </c:spPr>
          <c:invertIfNegative val="0"/>
          <c:cat>
            <c:multiLvlStrRef>
              <c:f>'4'!$A$705:$A$716</c:f>
            </c:multiLvlStrRef>
          </c:cat>
          <c:val>
            <c:numRef>
              <c:f>'4'!$G$705:$G$716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5538883361789828"/>
          <c:w val="0.25904724953984914"/>
          <c:h val="4.461116638210169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Pašvaldību budžeta bilance, % no IKP</a:t>
            </a:r>
          </a:p>
        </c:rich>
      </c:tx>
      <c:layout>
        <c:manualLayout>
          <c:xMode val="edge"/>
          <c:yMode val="edge"/>
          <c:x val="0.26336021654447289"/>
          <c:y val="1.461144828992121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'4'!$H$704</c:f>
              <c:strCache>
                <c:ptCount val="1"/>
                <c:pt idx="0">
                  <c:v>2024</c:v>
                </c:pt>
              </c:strCache>
            </c:strRef>
          </c:tx>
          <c:spPr>
            <a:solidFill>
              <a:schemeClr val="accent1"/>
            </a:solidFill>
            <a:ln>
              <a:noFill/>
            </a:ln>
            <a:effectLst/>
          </c:spPr>
          <c:invertIfNegative val="0"/>
          <c:cat>
            <c:multiLvlStrRef>
              <c:f>'4'!$A$705:$A$716</c:f>
            </c:multiLvlStrRef>
          </c:cat>
          <c:val>
            <c:numRef>
              <c:f>'4'!$H$705:$H$716</c:f>
            </c:numRef>
          </c:val>
          <c:extLst>
            <c:ext xmlns:c16="http://schemas.microsoft.com/office/drawing/2014/chart" uri="{C3380CC4-5D6E-409C-BE32-E72D297353CC}">
              <c16:uniqueId val="{00000000-549D-4D7F-AE86-BEF5B9C0912B}"/>
            </c:ext>
          </c:extLst>
        </c:ser>
        <c:ser>
          <c:idx val="1"/>
          <c:order val="1"/>
          <c:tx>
            <c:strRef>
              <c:f>'4'!$I$704</c:f>
              <c:strCache>
                <c:ptCount val="1"/>
                <c:pt idx="0">
                  <c:v>2025</c:v>
                </c:pt>
              </c:strCache>
            </c:strRef>
          </c:tx>
          <c:spPr>
            <a:solidFill>
              <a:schemeClr val="accent3"/>
            </a:solidFill>
            <a:ln>
              <a:noFill/>
            </a:ln>
            <a:effectLst/>
          </c:spPr>
          <c:invertIfNegative val="0"/>
          <c:cat>
            <c:multiLvlStrRef>
              <c:f>'4'!$A$705:$A$716</c:f>
            </c:multiLvlStrRef>
          </c:cat>
          <c:val>
            <c:numRef>
              <c:f>'4'!$I$705:$I$716</c:f>
            </c:numRef>
          </c:val>
          <c:extLst>
            <c:ext xmlns:c16="http://schemas.microsoft.com/office/drawing/2014/chart" uri="{C3380CC4-5D6E-409C-BE32-E72D297353CC}">
              <c16:uniqueId val="{00000001-549D-4D7F-AE86-BEF5B9C0912B}"/>
            </c:ext>
          </c:extLst>
        </c:ser>
        <c:ser>
          <c:idx val="2"/>
          <c:order val="2"/>
          <c:tx>
            <c:strRef>
              <c:f>'4'!$J$704</c:f>
              <c:strCache>
                <c:ptCount val="1"/>
                <c:pt idx="0">
                  <c:v>2026</c:v>
                </c:pt>
              </c:strCache>
            </c:strRef>
          </c:tx>
          <c:spPr>
            <a:solidFill>
              <a:schemeClr val="accent5"/>
            </a:solidFill>
            <a:ln>
              <a:noFill/>
            </a:ln>
            <a:effectLst/>
          </c:spPr>
          <c:invertIfNegative val="0"/>
          <c:cat>
            <c:multiLvlStrRef>
              <c:f>'4'!$A$705:$A$716</c:f>
            </c:multiLvlStrRef>
          </c:cat>
          <c:val>
            <c:numRef>
              <c:f>'4'!$J$705:$J$716</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6376743469545212"/>
          <c:w val="0.25904724953984914"/>
          <c:h val="3.623256530454784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a:latin typeface="Verdana" panose="020B0604030504040204" pitchFamily="34" charset="0"/>
                <a:ea typeface="Verdana" panose="020B0604030504040204" pitchFamily="34" charset="0"/>
              </a:rPr>
              <a:t>Valsts pamatbudžeta</a:t>
            </a:r>
            <a:r>
              <a:rPr lang="lv-LV" sz="1050" baseline="0">
                <a:latin typeface="Verdana" panose="020B0604030504040204" pitchFamily="34" charset="0"/>
                <a:ea typeface="Verdana" panose="020B0604030504040204" pitchFamily="34" charset="0"/>
              </a:rPr>
              <a:t> + </a:t>
            </a:r>
            <a:r>
              <a:rPr lang="lv-LV" sz="1050">
                <a:latin typeface="Verdana" panose="020B0604030504040204" pitchFamily="34" charset="0"/>
                <a:ea typeface="Verdana" panose="020B0604030504040204" pitchFamily="34" charset="0"/>
              </a:rPr>
              <a:t>speciālā budžeta ieņēmumi, </a:t>
            </a:r>
            <a:r>
              <a:rPr lang="lv-LV" sz="1050" b="0" i="0" u="none" strike="noStrike" baseline="0">
                <a:effectLst/>
              </a:rPr>
              <a:t>milj.</a:t>
            </a:r>
            <a:r>
              <a:rPr lang="lv-LV" sz="1050">
                <a:latin typeface="Verdana" panose="020B0604030504040204" pitchFamily="34" charset="0"/>
                <a:ea typeface="Verdana" panose="020B0604030504040204" pitchFamily="34" charset="0"/>
              </a:rPr>
              <a:t> eiro</a:t>
            </a:r>
          </a:p>
        </c:rich>
      </c:tx>
      <c:layout>
        <c:manualLayout>
          <c:xMode val="edge"/>
          <c:yMode val="edge"/>
          <c:x val="0.14755393260392852"/>
          <c:y val="1.6757231586589861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'4'!$B$486:$B$497</c:f>
              <c:numCache>
                <c:formatCode>#,##0</c:formatCode>
                <c:ptCount val="12"/>
                <c:pt idx="0">
                  <c:v>1340794.0930000001</c:v>
                </c:pt>
                <c:pt idx="1">
                  <c:v>1121021.341</c:v>
                </c:pt>
                <c:pt idx="2">
                  <c:v>1056767.5860000001</c:v>
                </c:pt>
                <c:pt idx="3">
                  <c:v>1246954.0309999995</c:v>
                </c:pt>
                <c:pt idx="4">
                  <c:v>1493709.7039999999</c:v>
                </c:pt>
                <c:pt idx="5">
                  <c:v>1597372.7190000003</c:v>
                </c:pt>
                <c:pt idx="6">
                  <c:v>1270858.8750000005</c:v>
                </c:pt>
                <c:pt idx="7">
                  <c:v>1116827.8289999999</c:v>
                </c:pt>
                <c:pt idx="8">
                  <c:v>1053875.9029999995</c:v>
                </c:pt>
                <c:pt idx="9">
                  <c:v>1079458.1700000009</c:v>
                </c:pt>
                <c:pt idx="10">
                  <c:v>1022727.3329999992</c:v>
                </c:pt>
                <c:pt idx="11">
                  <c:v>1252065.7619999992</c:v>
                </c:pt>
              </c:numCache>
            </c:numRef>
          </c:val>
          <c:extLst>
            <c:ext xmlns:c16="http://schemas.microsoft.com/office/drawing/2014/chart" uri="{C3380CC4-5D6E-409C-BE32-E72D297353CC}">
              <c16:uniqueId val="{00000000-549D-4D7F-AE86-BEF5B9C0912B}"/>
            </c:ext>
          </c:extLst>
        </c:ser>
        <c:ser>
          <c:idx val="1"/>
          <c:order val="1"/>
          <c:tx>
            <c:strRef>
              <c:f>'4'!$C$485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'4'!$C$486:$C$497</c:f>
              <c:numCache>
                <c:formatCode>#,##0</c:formatCode>
                <c:ptCount val="12"/>
                <c:pt idx="0">
                  <c:v>1289039.9132099999</c:v>
                </c:pt>
                <c:pt idx="1">
                  <c:v>1225923.0593699999</c:v>
                </c:pt>
                <c:pt idx="2">
                  <c:v>940758.0925200003</c:v>
                </c:pt>
                <c:pt idx="3">
                  <c:v>1222043.2606399998</c:v>
                </c:pt>
                <c:pt idx="4">
                  <c:v>1556699.5412199998</c:v>
                </c:pt>
                <c:pt idx="5">
                  <c:v>1545565.6061999998</c:v>
                </c:pt>
                <c:pt idx="6">
                  <c:v>1225181.1474300008</c:v>
                </c:pt>
                <c:pt idx="7">
                  <c:v>1357630.5680799987</c:v>
                </c:pt>
                <c:pt idx="8">
                  <c:v>1080692.2329100003</c:v>
                </c:pt>
                <c:pt idx="9">
                  <c:v>1147783.0021700007</c:v>
                </c:pt>
                <c:pt idx="10">
                  <c:v>1094470.9687699992</c:v>
                </c:pt>
                <c:pt idx="11">
                  <c:v>1619983.9352700012</c:v>
                </c:pt>
              </c:numCache>
            </c:numRef>
          </c:val>
          <c:extLst>
            <c:ext xmlns:c16="http://schemas.microsoft.com/office/drawing/2014/chart" uri="{C3380CC4-5D6E-409C-BE32-E72D297353CC}">
              <c16:uniqueId val="{00000001-549D-4D7F-AE86-BEF5B9C0912B}"/>
            </c:ext>
          </c:extLst>
        </c:ser>
        <c:ser>
          <c:idx val="2"/>
          <c:order val="2"/>
          <c:tx>
            <c:strRef>
              <c:f>'4'!$D$485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'4'!$D$486:$D$497</c:f>
              <c:numCache>
                <c:formatCode>#,##0</c:formatCode>
                <c:ptCount val="12"/>
                <c:pt idx="0">
                  <c:v>1343696.2895599999</c:v>
                </c:pt>
                <c:pt idx="1">
                  <c:v>1810461.0014899997</c:v>
                </c:pt>
                <c:pt idx="2">
                  <c:v>1015508.2390600003</c:v>
                </c:pt>
                <c:pt idx="3">
                  <c:v>1246256.7505199995</c:v>
                </c:pt>
                <c:pt idx="4">
                  <c:v>1670014.7178500008</c:v>
                </c:pt>
                <c:pt idx="5">
                  <c:v>1577731.1803499991</c:v>
                </c:pt>
                <c:pt idx="6">
                  <c:v>1339779.5353400004</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4335183664253349"/>
          <c:y val="0.93863164984961356"/>
          <c:w val="0.25904724953984914"/>
          <c:h val="6.136841268443263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lv-LV" sz="1050" b="0" i="0" u="none" strike="noStrike" baseline="0">
                <a:effectLst/>
              </a:rPr>
              <a:t>Valsts pamatbudžeta + speciālā budžeta</a:t>
            </a:r>
            <a:r>
              <a:rPr lang="en-US" sz="1050">
                <a:latin typeface="Verdana" panose="020B0604030504040204" pitchFamily="34" charset="0"/>
                <a:ea typeface="Verdana" panose="020B0604030504040204" pitchFamily="34" charset="0"/>
              </a:rPr>
              <a:t> izdevumi, </a:t>
            </a:r>
            <a:r>
              <a:rPr lang="lv-LV" sz="1050" b="0" i="0" u="none" strike="noStrike" baseline="0">
                <a:effectLst/>
              </a:rPr>
              <a:t>milj.</a:t>
            </a:r>
            <a:r>
              <a:rPr lang="en-US" sz="1050">
                <a:latin typeface="Verdana" panose="020B0604030504040204" pitchFamily="34" charset="0"/>
                <a:ea typeface="Verdana" panose="020B0604030504040204" pitchFamily="34" charset="0"/>
              </a:rPr>
              <a:t> eiro</a:t>
            </a:r>
          </a:p>
        </c:rich>
      </c:tx>
      <c:layout>
        <c:manualLayout>
          <c:xMode val="edge"/>
          <c:yMode val="edge"/>
          <c:x val="0.14523918571164535"/>
          <c:y val="1.6729407433191869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'4'!$E$486:$E$497</c:f>
              <c:numCache>
                <c:formatCode>#,##0</c:formatCode>
                <c:ptCount val="12"/>
                <c:pt idx="0">
                  <c:v>1193977.0490000001</c:v>
                </c:pt>
                <c:pt idx="1">
                  <c:v>1234636.1969999999</c:v>
                </c:pt>
                <c:pt idx="2">
                  <c:v>1132798.622</c:v>
                </c:pt>
                <c:pt idx="3">
                  <c:v>1438314.5840000003</c:v>
                </c:pt>
                <c:pt idx="4">
                  <c:v>1133118.6510000001</c:v>
                </c:pt>
                <c:pt idx="5">
                  <c:v>1259409.7589999994</c:v>
                </c:pt>
                <c:pt idx="6">
                  <c:v>1272382.4909999999</c:v>
                </c:pt>
                <c:pt idx="7">
                  <c:v>1081909.3200000003</c:v>
                </c:pt>
                <c:pt idx="8">
                  <c:v>1116209.4989999998</c:v>
                </c:pt>
                <c:pt idx="9">
                  <c:v>1380461.3090000008</c:v>
                </c:pt>
                <c:pt idx="10">
                  <c:v>1261670.5099999998</c:v>
                </c:pt>
                <c:pt idx="11">
                  <c:v>1893029.737999999</c:v>
                </c:pt>
              </c:numCache>
            </c:numRef>
          </c:val>
          <c:extLst>
            <c:ext xmlns:c16="http://schemas.microsoft.com/office/drawing/2014/chart" uri="{C3380CC4-5D6E-409C-BE32-E72D297353CC}">
              <c16:uniqueId val="{00000000-549D-4D7F-AE86-BEF5B9C0912B}"/>
            </c:ext>
          </c:extLst>
        </c:ser>
        <c:ser>
          <c:idx val="1"/>
          <c:order val="1"/>
          <c:tx>
            <c:strRef>
              <c:f>'4'!$F$485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'4'!$F$486:$F$497</c:f>
              <c:numCache>
                <c:formatCode>#,##0</c:formatCode>
                <c:ptCount val="12"/>
                <c:pt idx="0">
                  <c:v>1332282.7831400002</c:v>
                </c:pt>
                <c:pt idx="1">
                  <c:v>1374514.3519099997</c:v>
                </c:pt>
                <c:pt idx="2">
                  <c:v>1417649.8506499997</c:v>
                </c:pt>
                <c:pt idx="3">
                  <c:v>1473316.11305</c:v>
                </c:pt>
                <c:pt idx="4">
                  <c:v>1223361.1368699998</c:v>
                </c:pt>
                <c:pt idx="5">
                  <c:v>1428185.9432100006</c:v>
                </c:pt>
                <c:pt idx="6">
                  <c:v>1343823.7544200001</c:v>
                </c:pt>
                <c:pt idx="7">
                  <c:v>1203038.0075600003</c:v>
                </c:pt>
                <c:pt idx="8">
                  <c:v>1362841.4883199995</c:v>
                </c:pt>
                <c:pt idx="9">
                  <c:v>1451500.1670600013</c:v>
                </c:pt>
                <c:pt idx="10">
                  <c:v>1290051.8700999995</c:v>
                </c:pt>
                <c:pt idx="11">
                  <c:v>2152145.9652899997</c:v>
                </c:pt>
              </c:numCache>
            </c:numRef>
          </c:val>
          <c:extLst>
            <c:ext xmlns:c16="http://schemas.microsoft.com/office/drawing/2014/chart" uri="{C3380CC4-5D6E-409C-BE32-E72D297353CC}">
              <c16:uniqueId val="{00000001-549D-4D7F-AE86-BEF5B9C0912B}"/>
            </c:ext>
          </c:extLst>
        </c:ser>
        <c:ser>
          <c:idx val="2"/>
          <c:order val="2"/>
          <c:tx>
            <c:strRef>
              <c:f>'4'!$G$485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'4'!$G$486:$G$497</c:f>
              <c:numCache>
                <c:formatCode>#,##0</c:formatCode>
                <c:ptCount val="12"/>
                <c:pt idx="0">
                  <c:v>1447809.5419399999</c:v>
                </c:pt>
                <c:pt idx="1">
                  <c:v>1401666.11528</c:v>
                </c:pt>
                <c:pt idx="2">
                  <c:v>1445953.0323100004</c:v>
                </c:pt>
                <c:pt idx="3">
                  <c:v>1404404.7706200001</c:v>
                </c:pt>
                <c:pt idx="4">
                  <c:v>1349457.7057399994</c:v>
                </c:pt>
                <c:pt idx="5">
                  <c:v>1511550.9644799996</c:v>
                </c:pt>
                <c:pt idx="6">
                  <c:v>1495173.5984700006</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5115078893316762"/>
          <c:w val="0.25904724953984914"/>
          <c:h val="4.884921106683233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lv-LV" sz="1050" b="0" i="0" u="none" strike="noStrike" baseline="0">
                <a:effectLst/>
              </a:rPr>
              <a:t>Valsts pamatbudžeta + speciālā budžeta </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bilance, </a:t>
            </a:r>
            <a:r>
              <a:rPr lang="lv-LV" sz="1050" b="0" i="0" u="none" strike="noStrike" baseline="0">
                <a:effectLst/>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0.14523925930268186"/>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'4'!$H$485</c:f>
              <c:strCache>
                <c:ptCount val="1"/>
                <c:pt idx="0">
                  <c:v>2024</c:v>
                </c:pt>
              </c:strCache>
            </c:strRef>
          </c:tx>
          <c:spPr>
            <a:solidFill>
              <a:schemeClr val="accent1"/>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'4'!$H$486:$H$497</c:f>
              <c:numCache>
                <c:formatCode>#,##0</c:formatCode>
                <c:ptCount val="12"/>
                <c:pt idx="0">
                  <c:v>146817.04399999999</c:v>
                </c:pt>
                <c:pt idx="1">
                  <c:v>-113614.85599999991</c:v>
                </c:pt>
                <c:pt idx="2">
                  <c:v>-76031.035999999847</c:v>
                </c:pt>
                <c:pt idx="3">
                  <c:v>-191360.55300000077</c:v>
                </c:pt>
                <c:pt idx="4">
                  <c:v>360591.05299999984</c:v>
                </c:pt>
                <c:pt idx="5">
                  <c:v>337962.96000000089</c:v>
                </c:pt>
                <c:pt idx="6">
                  <c:v>-1523.6159999994561</c:v>
                </c:pt>
                <c:pt idx="7">
                  <c:v>34918.508999999613</c:v>
                </c:pt>
                <c:pt idx="8">
                  <c:v>-62333.596000000369</c:v>
                </c:pt>
                <c:pt idx="9">
                  <c:v>-301003.13899999997</c:v>
                </c:pt>
                <c:pt idx="10">
                  <c:v>-238943.17700000061</c:v>
                </c:pt>
                <c:pt idx="11">
                  <c:v>-640963.97599999979</c:v>
                </c:pt>
              </c:numCache>
            </c:numRef>
          </c:val>
          <c:extLst>
            <c:ext xmlns:c16="http://schemas.microsoft.com/office/drawing/2014/chart" uri="{C3380CC4-5D6E-409C-BE32-E72D297353CC}">
              <c16:uniqueId val="{00000000-549D-4D7F-AE86-BEF5B9C0912B}"/>
            </c:ext>
          </c:extLst>
        </c:ser>
        <c:ser>
          <c:idx val="1"/>
          <c:order val="1"/>
          <c:tx>
            <c:strRef>
              <c:f>'4'!$I$485</c:f>
              <c:strCache>
                <c:ptCount val="1"/>
                <c:pt idx="0">
                  <c:v>2025</c:v>
                </c:pt>
              </c:strCache>
            </c:strRef>
          </c:tx>
          <c:spPr>
            <a:solidFill>
              <a:schemeClr val="accent3"/>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'4'!$I$486:$I$497</c:f>
              <c:numCache>
                <c:formatCode>#,##0</c:formatCode>
                <c:ptCount val="12"/>
                <c:pt idx="0">
                  <c:v>-43242.869930000277</c:v>
                </c:pt>
                <c:pt idx="1">
                  <c:v>-148591.29253999982</c:v>
                </c:pt>
                <c:pt idx="2">
                  <c:v>-476891.75812999939</c:v>
                </c:pt>
                <c:pt idx="3">
                  <c:v>-251272.85241000028</c:v>
                </c:pt>
                <c:pt idx="4">
                  <c:v>333338.40434999997</c:v>
                </c:pt>
                <c:pt idx="5">
                  <c:v>117379.66298999917</c:v>
                </c:pt>
                <c:pt idx="6">
                  <c:v>-118642.6069899993</c:v>
                </c:pt>
                <c:pt idx="7">
                  <c:v>154592.56051999843</c:v>
                </c:pt>
                <c:pt idx="8">
                  <c:v>-282149.25540999928</c:v>
                </c:pt>
                <c:pt idx="9">
                  <c:v>-303717.1648900006</c:v>
                </c:pt>
                <c:pt idx="10">
                  <c:v>-195580.90133000026</c:v>
                </c:pt>
                <c:pt idx="11">
                  <c:v>-532162.03001999855</c:v>
                </c:pt>
              </c:numCache>
            </c:numRef>
          </c:val>
          <c:extLst>
            <c:ext xmlns:c16="http://schemas.microsoft.com/office/drawing/2014/chart" uri="{C3380CC4-5D6E-409C-BE32-E72D297353CC}">
              <c16:uniqueId val="{00000001-549D-4D7F-AE86-BEF5B9C0912B}"/>
            </c:ext>
          </c:extLst>
        </c:ser>
        <c:ser>
          <c:idx val="2"/>
          <c:order val="2"/>
          <c:tx>
            <c:strRef>
              <c:f>'4'!$J$485</c:f>
              <c:strCache>
                <c:ptCount val="1"/>
                <c:pt idx="0">
                  <c:v>2026</c:v>
                </c:pt>
              </c:strCache>
            </c:strRef>
          </c:tx>
          <c:spPr>
            <a:solidFill>
              <a:schemeClr val="accent5"/>
            </a:solidFill>
            <a:ln>
              <a:noFill/>
            </a:ln>
            <a:effectLst/>
          </c:spPr>
          <c:invertIfNegative val="0"/>
          <c:cat>
            <c:strRef>
              <c:f>'4'!$A$486:$A$497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'4'!$J$486:$J$497</c:f>
              <c:numCache>
                <c:formatCode>#,##0</c:formatCode>
                <c:ptCount val="12"/>
                <c:pt idx="0">
                  <c:v>-104113.25237999996</c:v>
                </c:pt>
                <c:pt idx="1">
                  <c:v>408794.88620999968</c:v>
                </c:pt>
                <c:pt idx="2">
                  <c:v>-430444.7932500001</c:v>
                </c:pt>
                <c:pt idx="3">
                  <c:v>-158148.02010000055</c:v>
                </c:pt>
                <c:pt idx="4">
                  <c:v>320557.01211000141</c:v>
                </c:pt>
                <c:pt idx="5">
                  <c:v>66180.215869999491</c:v>
                </c:pt>
                <c:pt idx="6">
                  <c:v>-155394.06313000014</c:v>
                </c:pt>
                <c:pt idx="7">
                  <c:v>0</c:v>
                </c:pt>
                <c:pt idx="8">
                  <c:v>0</c:v>
                </c:pt>
                <c:pt idx="9">
                  <c:v>0</c:v>
                </c:pt>
                <c:pt idx="10">
                  <c:v>0</c:v>
                </c:pt>
                <c:pt idx="11">
                  <c:v>0</c:v>
                </c:pt>
              </c:numCache>
            </c:numRef>
          </c:val>
          <c:extLst>
            <c:ext xmlns:c16="http://schemas.microsoft.com/office/drawing/2014/chart" uri="{C3380CC4-5D6E-409C-BE32-E72D297353CC}">
              <c16:uniqueId val="{00000006-86FB-465B-A6D4-286DF37548B6}"/>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4278612289981034"/>
          <c:w val="0.25904724953984914"/>
          <c:h val="5.721387710018965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lv-LV" sz="1050"/>
              <a:t>Valsts speciālā + pamatbudžeta</a:t>
            </a:r>
            <a:r>
              <a:rPr lang="lv-LV" sz="1050" baseline="0"/>
              <a:t> </a:t>
            </a:r>
            <a:r>
              <a:rPr lang="lv-LV" sz="1050"/>
              <a:t>ieņēmumi,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'4'!$B$557</c:f>
              <c:strCache>
                <c:ptCount val="1"/>
                <c:pt idx="0">
                  <c:v>2024</c:v>
                </c:pt>
              </c:strCache>
            </c:strRef>
          </c:tx>
          <c:spPr>
            <a:solidFill>
              <a:schemeClr val="accent1"/>
            </a:solidFill>
            <a:ln>
              <a:noFill/>
            </a:ln>
            <a:effectLst/>
          </c:spPr>
          <c:invertIfNegative val="0"/>
          <c:cat>
            <c:multiLvlStrRef>
              <c:f>'4'!$A$558:$A$569</c:f>
            </c:multiLvlStrRef>
          </c:cat>
          <c:val>
            <c:numRef>
              <c:f>'4'!$B$558:$B$569</c:f>
            </c:numRef>
          </c:val>
          <c:extLst>
            <c:ext xmlns:c16="http://schemas.microsoft.com/office/drawing/2014/chart" uri="{C3380CC4-5D6E-409C-BE32-E72D297353CC}">
              <c16:uniqueId val="{00000000-549D-4D7F-AE86-BEF5B9C0912B}"/>
            </c:ext>
          </c:extLst>
        </c:ser>
        <c:ser>
          <c:idx val="1"/>
          <c:order val="1"/>
          <c:tx>
            <c:strRef>
              <c:f>'4'!$C$557</c:f>
              <c:strCache>
                <c:ptCount val="1"/>
                <c:pt idx="0">
                  <c:v>2025</c:v>
                </c:pt>
              </c:strCache>
            </c:strRef>
          </c:tx>
          <c:spPr>
            <a:solidFill>
              <a:schemeClr val="accent3"/>
            </a:solidFill>
            <a:ln>
              <a:noFill/>
            </a:ln>
            <a:effectLst/>
          </c:spPr>
          <c:invertIfNegative val="0"/>
          <c:cat>
            <c:multiLvlStrRef>
              <c:f>'4'!$A$558:$A$569</c:f>
            </c:multiLvlStrRef>
          </c:cat>
          <c:val>
            <c:numRef>
              <c:f>'4'!$C$558:$C$569</c:f>
            </c:numRef>
          </c:val>
          <c:extLst>
            <c:ext xmlns:c16="http://schemas.microsoft.com/office/drawing/2014/chart" uri="{C3380CC4-5D6E-409C-BE32-E72D297353CC}">
              <c16:uniqueId val="{00000001-549D-4D7F-AE86-BEF5B9C0912B}"/>
            </c:ext>
          </c:extLst>
        </c:ser>
        <c:ser>
          <c:idx val="2"/>
          <c:order val="2"/>
          <c:tx>
            <c:strRef>
              <c:f>'4'!$D$557</c:f>
              <c:strCache>
                <c:ptCount val="1"/>
                <c:pt idx="0">
                  <c:v>2026</c:v>
                </c:pt>
              </c:strCache>
            </c:strRef>
          </c:tx>
          <c:spPr>
            <a:solidFill>
              <a:schemeClr val="accent5"/>
            </a:solidFill>
            <a:ln>
              <a:noFill/>
            </a:ln>
            <a:effectLst/>
          </c:spPr>
          <c:invertIfNegative val="0"/>
          <c:cat>
            <c:multiLvlStrRef>
              <c:f>'4'!$A$558:$A$569</c:f>
            </c:multiLvlStrRef>
          </c:cat>
          <c:val>
            <c:numRef>
              <c:f>'4'!$D$558:$D$569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3996786881748042"/>
          <c:y val="0.95119959929701481"/>
          <c:w val="0.25904724953984914"/>
          <c:h val="4.88004889944902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bilance, % no IKP</a:t>
            </a:r>
          </a:p>
        </c:rich>
      </c:tx>
      <c:layout>
        <c:manualLayout>
          <c:xMode val="edge"/>
          <c:yMode val="edge"/>
          <c:x val="8.6687573540614307E-2"/>
          <c:y val="0"/>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4870846181067749E-2"/>
          <c:w val="0.88254396325459317"/>
          <c:h val="0.75441082647028601"/>
        </c:manualLayout>
      </c:layout>
      <c:barChart>
        <c:barDir val="col"/>
        <c:grouping val="clustered"/>
        <c:varyColors val="0"/>
        <c:ser>
          <c:idx val="0"/>
          <c:order val="0"/>
          <c:tx>
            <c:strRef>
              <c:f>'2'!$B$140</c:f>
              <c:strCache>
                <c:ptCount val="1"/>
                <c:pt idx="0">
                  <c:v>2025</c:v>
                </c:pt>
              </c:strCache>
            </c:strRef>
          </c:tx>
          <c:spPr>
            <a:solidFill>
              <a:schemeClr val="accent1"/>
            </a:solidFill>
            <a:ln>
              <a:noFill/>
            </a:ln>
            <a:effectLst/>
          </c:spPr>
          <c:invertIfNegative val="0"/>
          <c:cat>
            <c:multiLvlStrRef>
              <c:f>'2'!$A$141:$A$152</c:f>
            </c:multiLvlStrRef>
          </c:cat>
          <c:val>
            <c:numRef>
              <c:f>'2'!$B$141:$B$152</c:f>
            </c:numRef>
          </c:val>
          <c:extLst>
            <c:ext xmlns:c16="http://schemas.microsoft.com/office/drawing/2014/chart" uri="{C3380CC4-5D6E-409C-BE32-E72D297353CC}">
              <c16:uniqueId val="{00000002-A855-4097-9342-2494317E4ECD}"/>
            </c:ext>
          </c:extLst>
        </c:ser>
        <c:ser>
          <c:idx val="1"/>
          <c:order val="1"/>
          <c:tx>
            <c:strRef>
              <c:f>'2'!$C$140</c:f>
              <c:strCache>
                <c:ptCount val="1"/>
                <c:pt idx="0">
                  <c:v>2026</c:v>
                </c:pt>
              </c:strCache>
            </c:strRef>
          </c:tx>
          <c:spPr>
            <a:solidFill>
              <a:schemeClr val="accent2"/>
            </a:solidFill>
            <a:ln>
              <a:noFill/>
            </a:ln>
            <a:effectLst/>
          </c:spPr>
          <c:invertIfNegative val="0"/>
          <c:cat>
            <c:multiLvlStrRef>
              <c:f>'2'!$A$141:$A$152</c:f>
            </c:multiLvlStrRef>
          </c:cat>
          <c:val>
            <c:numRef>
              <c:f>'2'!$C$141:$C$152</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a:t>
            </a:r>
            <a:r>
              <a:rPr lang="lv-LV" sz="1050"/>
              <a:t> +</a:t>
            </a:r>
            <a:r>
              <a:rPr lang="en-US" sz="1050"/>
              <a:t> </a:t>
            </a:r>
            <a:r>
              <a:rPr lang="lv-LV" sz="1050"/>
              <a:t>pamat</a:t>
            </a:r>
            <a:r>
              <a:rPr lang="en-US" sz="1050"/>
              <a:t>budžeta izdevumi,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'4'!$E$557</c:f>
              <c:strCache>
                <c:ptCount val="1"/>
                <c:pt idx="0">
                  <c:v>2024</c:v>
                </c:pt>
              </c:strCache>
            </c:strRef>
          </c:tx>
          <c:spPr>
            <a:solidFill>
              <a:schemeClr val="accent1"/>
            </a:solidFill>
            <a:ln>
              <a:noFill/>
            </a:ln>
            <a:effectLst/>
          </c:spPr>
          <c:invertIfNegative val="0"/>
          <c:cat>
            <c:multiLvlStrRef>
              <c:f>'4'!$A$558:$A$569</c:f>
            </c:multiLvlStrRef>
          </c:cat>
          <c:val>
            <c:numRef>
              <c:f>'4'!$E$558:$E$569</c:f>
            </c:numRef>
          </c:val>
          <c:extLst>
            <c:ext xmlns:c16="http://schemas.microsoft.com/office/drawing/2014/chart" uri="{C3380CC4-5D6E-409C-BE32-E72D297353CC}">
              <c16:uniqueId val="{00000000-549D-4D7F-AE86-BEF5B9C0912B}"/>
            </c:ext>
          </c:extLst>
        </c:ser>
        <c:ser>
          <c:idx val="1"/>
          <c:order val="1"/>
          <c:tx>
            <c:strRef>
              <c:f>'4'!$F$557</c:f>
              <c:strCache>
                <c:ptCount val="1"/>
                <c:pt idx="0">
                  <c:v>2025</c:v>
                </c:pt>
              </c:strCache>
            </c:strRef>
          </c:tx>
          <c:spPr>
            <a:solidFill>
              <a:schemeClr val="accent3"/>
            </a:solidFill>
            <a:ln>
              <a:noFill/>
            </a:ln>
            <a:effectLst/>
          </c:spPr>
          <c:invertIfNegative val="0"/>
          <c:cat>
            <c:multiLvlStrRef>
              <c:f>'4'!$A$558:$A$569</c:f>
            </c:multiLvlStrRef>
          </c:cat>
          <c:val>
            <c:numRef>
              <c:f>'4'!$F$558:$F$569</c:f>
            </c:numRef>
          </c:val>
          <c:extLst>
            <c:ext xmlns:c16="http://schemas.microsoft.com/office/drawing/2014/chart" uri="{C3380CC4-5D6E-409C-BE32-E72D297353CC}">
              <c16:uniqueId val="{00000001-549D-4D7F-AE86-BEF5B9C0912B}"/>
            </c:ext>
          </c:extLst>
        </c:ser>
        <c:ser>
          <c:idx val="2"/>
          <c:order val="2"/>
          <c:tx>
            <c:strRef>
              <c:f>'4'!$G$557</c:f>
              <c:strCache>
                <c:ptCount val="1"/>
                <c:pt idx="0">
                  <c:v>2026</c:v>
                </c:pt>
              </c:strCache>
            </c:strRef>
          </c:tx>
          <c:spPr>
            <a:solidFill>
              <a:schemeClr val="accent5"/>
            </a:solidFill>
            <a:ln>
              <a:noFill/>
            </a:ln>
            <a:effectLst/>
          </c:spPr>
          <c:invertIfNegative val="0"/>
          <c:cat>
            <c:multiLvlStrRef>
              <c:f>'4'!$A$558:$A$569</c:f>
            </c:multiLvlStrRef>
          </c:cat>
          <c:val>
            <c:numRef>
              <c:f>'4'!$G$558:$G$569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2193692495943038"/>
          <c:y val="0.93863169293031401"/>
          <c:w val="0.25904724953984914"/>
          <c:h val="6.1368372197659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r>
              <a:rPr lang="en-US" sz="1050"/>
              <a:t>Valsts speciālā </a:t>
            </a:r>
            <a:r>
              <a:rPr lang="lv-LV" sz="1050"/>
              <a:t>+ pamat</a:t>
            </a:r>
            <a:r>
              <a:rPr lang="en-US" sz="1050"/>
              <a:t>budžeta bilance, % no IKP</a:t>
            </a:r>
          </a:p>
        </c:rich>
      </c:tx>
      <c:layout>
        <c:manualLayout>
          <c:xMode val="edge"/>
          <c:yMode val="edge"/>
          <c:x val="0.15809556586694681"/>
          <c:y val="1.4611414703430208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effectLst/>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'4'!$H$557</c:f>
              <c:strCache>
                <c:ptCount val="1"/>
                <c:pt idx="0">
                  <c:v>2024</c:v>
                </c:pt>
              </c:strCache>
            </c:strRef>
          </c:tx>
          <c:spPr>
            <a:solidFill>
              <a:schemeClr val="accent1"/>
            </a:solidFill>
            <a:ln>
              <a:noFill/>
            </a:ln>
            <a:effectLst/>
          </c:spPr>
          <c:invertIfNegative val="0"/>
          <c:cat>
            <c:multiLvlStrRef>
              <c:f>'4'!$A$558:$A$569</c:f>
            </c:multiLvlStrRef>
          </c:cat>
          <c:val>
            <c:numRef>
              <c:f>'4'!$H$558:$H$569</c:f>
            </c:numRef>
          </c:val>
          <c:extLst>
            <c:ext xmlns:c16="http://schemas.microsoft.com/office/drawing/2014/chart" uri="{C3380CC4-5D6E-409C-BE32-E72D297353CC}">
              <c16:uniqueId val="{00000000-549D-4D7F-AE86-BEF5B9C0912B}"/>
            </c:ext>
          </c:extLst>
        </c:ser>
        <c:ser>
          <c:idx val="1"/>
          <c:order val="1"/>
          <c:tx>
            <c:strRef>
              <c:f>'4'!$I$557</c:f>
              <c:strCache>
                <c:ptCount val="1"/>
                <c:pt idx="0">
                  <c:v>2025</c:v>
                </c:pt>
              </c:strCache>
            </c:strRef>
          </c:tx>
          <c:spPr>
            <a:solidFill>
              <a:schemeClr val="accent3"/>
            </a:solidFill>
            <a:ln>
              <a:noFill/>
            </a:ln>
            <a:effectLst/>
          </c:spPr>
          <c:invertIfNegative val="0"/>
          <c:cat>
            <c:multiLvlStrRef>
              <c:f>'4'!$A$558:$A$569</c:f>
            </c:multiLvlStrRef>
          </c:cat>
          <c:val>
            <c:numRef>
              <c:f>'4'!$I$558:$I$569</c:f>
            </c:numRef>
          </c:val>
          <c:extLst>
            <c:ext xmlns:c16="http://schemas.microsoft.com/office/drawing/2014/chart" uri="{C3380CC4-5D6E-409C-BE32-E72D297353CC}">
              <c16:uniqueId val="{00000001-549D-4D7F-AE86-BEF5B9C0912B}"/>
            </c:ext>
          </c:extLst>
        </c:ser>
        <c:ser>
          <c:idx val="2"/>
          <c:order val="2"/>
          <c:tx>
            <c:strRef>
              <c:f>'4'!$J$557</c:f>
              <c:strCache>
                <c:ptCount val="1"/>
                <c:pt idx="0">
                  <c:v>2026</c:v>
                </c:pt>
              </c:strCache>
            </c:strRef>
          </c:tx>
          <c:spPr>
            <a:solidFill>
              <a:schemeClr val="accent5"/>
            </a:solidFill>
            <a:ln>
              <a:noFill/>
            </a:ln>
            <a:effectLst/>
          </c:spPr>
          <c:invertIfNegative val="0"/>
          <c:cat>
            <c:multiLvlStrRef>
              <c:f>'4'!$A$558:$A$569</c:f>
            </c:multiLvlStrRef>
          </c:cat>
          <c:val>
            <c:numRef>
              <c:f>'4'!$J$558:$J$569</c:f>
            </c:numRef>
          </c:val>
          <c:extLst>
            <c:ext xmlns:c16="http://schemas.microsoft.com/office/drawing/2014/chart" uri="{C3380CC4-5D6E-409C-BE32-E72D297353CC}">
              <c16:uniqueId val="{00000006-AFCF-4A70-BAD6-240659A3DAEF}"/>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4282091407369484"/>
          <c:w val="0.25904724953984914"/>
          <c:h val="5.7179085926305148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9AC-49B1-BB72-165788D8177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9AC-49B1-BB72-165788D81774}"/>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59AC-49B1-BB72-165788D81774}"/>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59AC-49B1-BB72-165788D81774}"/>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59AC-49B1-BB72-165788D81774}"/>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59AC-49B1-BB72-165788D81774}"/>
              </c:ext>
            </c:extLst>
          </c:dPt>
          <c:dLbls>
            <c:dLbl>
              <c:idx val="1"/>
              <c:layout>
                <c:manualLayout>
                  <c:x val="-3.8029505714203653E-2"/>
                  <c:y val="0.2167765931039989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9AC-49B1-BB72-165788D81774}"/>
                </c:ext>
              </c:extLst>
            </c:dLbl>
            <c:dLbl>
              <c:idx val="2"/>
              <c:layout>
                <c:manualLayout>
                  <c:x val="-7.6059011428407305E-2"/>
                  <c:y val="0.1175737454123383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9AC-49B1-BB72-165788D81774}"/>
                </c:ext>
              </c:extLst>
            </c:dLbl>
            <c:dLbl>
              <c:idx val="3"/>
              <c:layout>
                <c:manualLayout>
                  <c:x val="-1.7850584314830286E-2"/>
                  <c:y val="3.6741795441355756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9AC-49B1-BB72-165788D81774}"/>
                </c:ext>
              </c:extLst>
            </c:dLbl>
            <c:dLbl>
              <c:idx val="4"/>
              <c:layout>
                <c:manualLayout>
                  <c:x val="7.9939573235978986E-2"/>
                  <c:y val="3.674179544135575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9AC-49B1-BB72-165788D81774}"/>
                </c:ext>
              </c:extLst>
            </c:dLbl>
            <c:numFmt formatCode="0.0%" sourceLinked="0"/>
            <c:spPr>
              <a:solidFill>
                <a:sysClr val="window" lastClr="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'3'!$A$7:$A$11</c:f>
              <c:strCache>
                <c:ptCount val="5"/>
                <c:pt idx="0">
                  <c:v>Nodokļu ieņēmumi, t.sk. VSAOI</c:v>
                </c:pt>
                <c:pt idx="1">
                  <c:v>Nenodokļu ieņēmumi</c:v>
                </c:pt>
                <c:pt idx="2">
                  <c:v>Pašu ieņēmumi</c:v>
                </c:pt>
                <c:pt idx="3">
                  <c:v>Finansējums no ES fondiem</c:v>
                </c:pt>
                <c:pt idx="4">
                  <c:v>Pārējie ieņēmumi*</c:v>
                </c:pt>
              </c:strCache>
            </c:strRef>
          </c:cat>
          <c:val>
            <c:numRef>
              <c:f>'3'!$EV$7:$EV$11</c:f>
              <c:numCache>
                <c:formatCode>#,##0</c:formatCode>
                <c:ptCount val="5"/>
                <c:pt idx="0">
                  <c:v>1358438.3030000012</c:v>
                </c:pt>
                <c:pt idx="1">
                  <c:v>125353.179</c:v>
                </c:pt>
                <c:pt idx="2">
                  <c:v>41807.392999999982</c:v>
                </c:pt>
                <c:pt idx="3">
                  <c:v>28197.714999999851</c:v>
                </c:pt>
                <c:pt idx="4">
                  <c:v>175.07299999999998</c:v>
                </c:pt>
              </c:numCache>
            </c:numRef>
          </c:val>
          <c:extLst>
            <c:ext xmlns:c16="http://schemas.microsoft.com/office/drawing/2014/chart" uri="{C3380CC4-5D6E-409C-BE32-E72D297353CC}">
              <c16:uniqueId val="{0000000C-59AC-49B1-BB72-165788D81774}"/>
            </c:ext>
          </c:extLst>
        </c:ser>
        <c:dLbls>
          <c:showLegendKey val="0"/>
          <c:showVal val="0"/>
          <c:showCatName val="0"/>
          <c:showSerName val="0"/>
          <c:showPercent val="0"/>
          <c:showBubbleSize val="0"/>
          <c:showLeaderLines val="0"/>
        </c:dLbls>
        <c:firstSliceAng val="0"/>
      </c:pieChart>
      <c:spPr>
        <a:noFill/>
        <a:ln>
          <a:noFill/>
        </a:ln>
        <a:effectLst/>
      </c:spPr>
    </c:plotArea>
    <c:plotVisOnly val="0"/>
    <c:dispBlanksAs val="gap"/>
    <c:showDLblsOverMax val="0"/>
    <c:extLst/>
  </c:chart>
  <c:spPr>
    <a:solidFill>
      <a:sysClr val="window" lastClr="FFFFFF"/>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9AC-49B1-BB72-165788D81774}"/>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59AC-49B1-BB72-165788D81774}"/>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59AC-49B1-BB72-165788D81774}"/>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7-59AC-49B1-BB72-165788D81774}"/>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9-59AC-49B1-BB72-165788D81774}"/>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B-59AC-49B1-BB72-165788D81774}"/>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C-AC9C-4973-8C37-32B90D3A90D3}"/>
              </c:ext>
            </c:extLst>
          </c:dPt>
          <c:dLbls>
            <c:dLbl>
              <c:idx val="3"/>
              <c:layout>
                <c:manualLayout>
                  <c:x val="5.5180177244439745E-3"/>
                  <c:y val="-2.702889233531758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9AC-49B1-BB72-165788D81774}"/>
                </c:ext>
              </c:extLst>
            </c:dLbl>
            <c:dLbl>
              <c:idx val="5"/>
              <c:layout>
                <c:manualLayout>
                  <c:x val="-1.1824323695237088E-2"/>
                  <c:y val="1.930635166808397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9AC-49B1-BB72-165788D81774}"/>
                </c:ext>
              </c:extLst>
            </c:dLbl>
            <c:numFmt formatCode="0%" sourceLinked="0"/>
            <c:spPr>
              <a:solidFill>
                <a:sysClr val="window" lastClr="FFFFFF"/>
              </a:solidFill>
              <a:ln>
                <a:solidFill>
                  <a:srgbClr val="000000">
                    <a:lumMod val="25000"/>
                    <a:lumOff val="75000"/>
                  </a:srgbClr>
                </a:solidFill>
              </a:ln>
              <a:effectLst/>
            </c:spPr>
            <c:txPr>
              <a:bodyPr rot="0" spcFirstLastPara="1" vertOverflow="clip" horzOverflow="clip" vert="horz" wrap="square" lIns="38100" tIns="19050" rIns="38100" bIns="19050" anchor="ctr" anchorCtr="0">
                <a:spAutoFit/>
              </a:bodyPr>
              <a:lstStyle/>
              <a:p>
                <a:pPr algn="ctr">
                  <a:defRPr lang="en-US" sz="900" b="0" i="0" u="none" strike="noStrike" kern="1200" baseline="0">
                    <a:solidFill>
                      <a:schemeClr val="dk1">
                        <a:lumMod val="65000"/>
                        <a:lumOff val="35000"/>
                      </a:schemeClr>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'3'!$A$13:$A$19</c:f>
              <c:strCache>
                <c:ptCount val="7"/>
                <c:pt idx="0">
                  <c:v>Atlīdzība</c:v>
                </c:pt>
                <c:pt idx="1">
                  <c:v>Preces un pakalpojumi</c:v>
                </c:pt>
                <c:pt idx="2">
                  <c:v>Procentu izdevumi</c:v>
                </c:pt>
                <c:pt idx="3">
                  <c:v>Subsīdijas un dotācijas</c:v>
                </c:pt>
                <c:pt idx="4">
                  <c:v>Sociālie pabalsti</c:v>
                </c:pt>
                <c:pt idx="5">
                  <c:v>Kapitālie izdevumi</c:v>
                </c:pt>
                <c:pt idx="6">
                  <c:v>Pārējie izdevumi**</c:v>
                </c:pt>
              </c:strCache>
            </c:strRef>
          </c:cat>
          <c:val>
            <c:numRef>
              <c:f>'3'!$EV$13:$EV$19</c:f>
              <c:numCache>
                <c:formatCode>#,##0</c:formatCode>
                <c:ptCount val="7"/>
                <c:pt idx="0">
                  <c:v>402597.28899999987</c:v>
                </c:pt>
                <c:pt idx="1">
                  <c:v>169528.65799999982</c:v>
                </c:pt>
                <c:pt idx="2">
                  <c:v>71383.135999999999</c:v>
                </c:pt>
                <c:pt idx="3">
                  <c:v>395287.14599999995</c:v>
                </c:pt>
                <c:pt idx="4">
                  <c:v>498082.66599999974</c:v>
                </c:pt>
                <c:pt idx="5">
                  <c:v>182516.66999999993</c:v>
                </c:pt>
                <c:pt idx="6">
                  <c:v>55579.25</c:v>
                </c:pt>
              </c:numCache>
            </c:numRef>
          </c:val>
          <c:extLst>
            <c:ext xmlns:c16="http://schemas.microsoft.com/office/drawing/2014/chart" uri="{C3380CC4-5D6E-409C-BE32-E72D297353CC}">
              <c16:uniqueId val="{0000000C-59AC-49B1-BB72-165788D81774}"/>
            </c:ext>
          </c:extLst>
        </c:ser>
        <c:dLbls>
          <c:showLegendKey val="0"/>
          <c:showVal val="0"/>
          <c:showCatName val="0"/>
          <c:showSerName val="0"/>
          <c:showPercent val="0"/>
          <c:showBubbleSize val="0"/>
          <c:showLeaderLines val="0"/>
        </c:dLbls>
        <c:firstSliceAng val="0"/>
      </c:pieChart>
      <c:spPr>
        <a:noFill/>
        <a:ln>
          <a:noFill/>
        </a:ln>
        <a:effectLst/>
      </c:spPr>
    </c:plotArea>
    <c:plotVisOnly val="0"/>
    <c:dispBlanksAs val="gap"/>
    <c:showDLblsOverMax val="0"/>
    <c:extLst/>
  </c:chart>
  <c:spPr>
    <a:solidFill>
      <a:schemeClr val="bg1"/>
    </a:solidFill>
    <a:ln w="9525" cap="flat" cmpd="sng" algn="ctr">
      <a:noFill/>
      <a:round/>
    </a:ln>
    <a:effectLst/>
  </c:spPr>
  <c:txPr>
    <a:bodyPr/>
    <a:lstStyle/>
    <a:p>
      <a:pPr>
        <a:defRPr>
          <a:solidFill>
            <a:sysClr val="windowText" lastClr="000000"/>
          </a:solidFill>
        </a:defRPr>
      </a:pPr>
      <a:endParaRPr lang="lv-LV"/>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900481189851275E-2"/>
          <c:y val="4.8696582830058857E-2"/>
          <c:w val="0.88254396325459317"/>
          <c:h val="0.78058500362605543"/>
        </c:manualLayout>
      </c:layout>
      <c:barChart>
        <c:barDir val="col"/>
        <c:grouping val="clustered"/>
        <c:varyColors val="0"/>
        <c:ser>
          <c:idx val="0"/>
          <c:order val="0"/>
          <c:tx>
            <c:strRef>
              <c:f>Grafiki!$F$45</c:f>
              <c:strCache>
                <c:ptCount val="1"/>
                <c:pt idx="0">
                  <c:v>Ieņēmumi</c:v>
                </c:pt>
              </c:strCache>
            </c:strRef>
          </c:tx>
          <c:spPr>
            <a:solidFill>
              <a:schemeClr val="accent1"/>
            </a:solidFill>
            <a:ln>
              <a:noFill/>
            </a:ln>
            <a:effectLst/>
          </c:spPr>
          <c:invertIfNegative val="0"/>
          <c:dLbls>
            <c:delete val="1"/>
          </c:dLbls>
          <c:cat>
            <c:strRef>
              <c:f>Grafiki!$E$46:$E$49</c:f>
              <c:strCache>
                <c:ptCount val="4"/>
                <c:pt idx="0">
                  <c:v>Kopbudžeta bilance</c:v>
                </c:pt>
                <c:pt idx="1">
                  <c:v>Pamatbudžeta bilance</c:v>
                </c:pt>
                <c:pt idx="2">
                  <c:v>Speciālā budžeta bilance</c:v>
                </c:pt>
                <c:pt idx="3">
                  <c:v>Pašvaldību budžeta bilance</c:v>
                </c:pt>
              </c:strCache>
            </c:strRef>
          </c:cat>
          <c:val>
            <c:numRef>
              <c:f>Grafiki!$F$46:$F$49</c:f>
              <c:numCache>
                <c:formatCode>#,##0</c:formatCode>
                <c:ptCount val="4"/>
                <c:pt idx="0">
                  <c:v>11422.109916000001</c:v>
                </c:pt>
                <c:pt idx="1">
                  <c:v>6764.3463334199996</c:v>
                </c:pt>
                <c:pt idx="2">
                  <c:v>3239.1013807499999</c:v>
                </c:pt>
                <c:pt idx="3">
                  <c:v>2427.809968</c:v>
                </c:pt>
              </c:numCache>
            </c:numRef>
          </c:val>
          <c:extLst>
            <c:ext xmlns:c16="http://schemas.microsoft.com/office/drawing/2014/chart" uri="{C3380CC4-5D6E-409C-BE32-E72D297353CC}">
              <c16:uniqueId val="{00000000-549D-4D7F-AE86-BEF5B9C0912B}"/>
            </c:ext>
          </c:extLst>
        </c:ser>
        <c:ser>
          <c:idx val="1"/>
          <c:order val="1"/>
          <c:tx>
            <c:strRef>
              <c:f>Grafiki!$G$45</c:f>
              <c:strCache>
                <c:ptCount val="1"/>
                <c:pt idx="0">
                  <c:v>Izdevumi</c:v>
                </c:pt>
              </c:strCache>
            </c:strRef>
          </c:tx>
          <c:spPr>
            <a:solidFill>
              <a:schemeClr val="accent3"/>
            </a:solidFill>
            <a:ln>
              <a:noFill/>
            </a:ln>
            <a:effectLst/>
          </c:spPr>
          <c:invertIfNegative val="0"/>
          <c:dLbls>
            <c:delete val="1"/>
          </c:dLbls>
          <c:cat>
            <c:strRef>
              <c:f>Grafiki!$E$46:$E$49</c:f>
              <c:strCache>
                <c:ptCount val="4"/>
                <c:pt idx="0">
                  <c:v>Kopbudžeta bilance</c:v>
                </c:pt>
                <c:pt idx="1">
                  <c:v>Pamatbudžeta bilance</c:v>
                </c:pt>
                <c:pt idx="2">
                  <c:v>Speciālā budžeta bilance</c:v>
                </c:pt>
                <c:pt idx="3">
                  <c:v>Pašvaldību budžeta bilance</c:v>
                </c:pt>
              </c:strCache>
            </c:strRef>
          </c:cat>
          <c:val>
            <c:numRef>
              <c:f>Grafiki!$G$46:$G$49</c:f>
              <c:numCache>
                <c:formatCode>#,##0</c:formatCode>
                <c:ptCount val="4"/>
                <c:pt idx="0">
                  <c:v>11371.046259999999</c:v>
                </c:pt>
                <c:pt idx="1">
                  <c:v>7177.4294089300001</c:v>
                </c:pt>
                <c:pt idx="2">
                  <c:v>2878.5863199099999</c:v>
                </c:pt>
                <c:pt idx="3">
                  <c:v>2384.8118849999996</c:v>
                </c:pt>
              </c:numCache>
            </c:numRef>
          </c:val>
          <c:extLst>
            <c:ext xmlns:c16="http://schemas.microsoft.com/office/drawing/2014/chart" uri="{C3380CC4-5D6E-409C-BE32-E72D297353CC}">
              <c16:uniqueId val="{00000001-549D-4D7F-AE86-BEF5B9C0912B}"/>
            </c:ext>
          </c:extLst>
        </c:ser>
        <c:dLbls>
          <c:showLegendKey val="0"/>
          <c:showVal val="1"/>
          <c:showCatName val="0"/>
          <c:showSerName val="0"/>
          <c:showPercent val="0"/>
          <c:showBubbleSize val="0"/>
        </c:dLbls>
        <c:gapWidth val="150"/>
        <c:axId val="660097944"/>
        <c:axId val="660098728"/>
      </c:barChart>
      <c:scatterChart>
        <c:scatterStyle val="lineMarker"/>
        <c:varyColors val="0"/>
        <c:ser>
          <c:idx val="2"/>
          <c:order val="2"/>
          <c:tx>
            <c:strRef>
              <c:f>Grafiki!$H$45</c:f>
              <c:strCache>
                <c:ptCount val="1"/>
                <c:pt idx="0">
                  <c:v>Bilance</c:v>
                </c:pt>
              </c:strCache>
            </c:strRef>
          </c:tx>
          <c:spPr>
            <a:ln w="25400" cap="rnd">
              <a:noFill/>
              <a:round/>
            </a:ln>
            <a:effectLst/>
          </c:spPr>
          <c:marker>
            <c:symbol val="circle"/>
            <c:size val="13"/>
            <c:spPr>
              <a:solidFill>
                <a:schemeClr val="accent5"/>
              </a:solidFill>
              <a:ln w="9525">
                <a:solidFill>
                  <a:schemeClr val="accent5"/>
                </a:solidFill>
              </a:ln>
              <a:effectLst/>
            </c:spPr>
          </c:marker>
          <c:xVal>
            <c:strRef>
              <c:f>Grafiki!$E$46:$E$49</c:f>
              <c:strCache>
                <c:ptCount val="4"/>
                <c:pt idx="0">
                  <c:v>Kopbudžeta bilance</c:v>
                </c:pt>
                <c:pt idx="1">
                  <c:v>Pamatbudžeta bilance</c:v>
                </c:pt>
                <c:pt idx="2">
                  <c:v>Speciālā budžeta bilance</c:v>
                </c:pt>
                <c:pt idx="3">
                  <c:v>Pašvaldību budžeta bilance</c:v>
                </c:pt>
              </c:strCache>
            </c:strRef>
          </c:xVal>
          <c:yVal>
            <c:numRef>
              <c:f>Grafiki!$H$46:$H$49</c:f>
              <c:numCache>
                <c:formatCode>#\ ##0.0</c:formatCode>
                <c:ptCount val="4"/>
                <c:pt idx="0">
                  <c:v>51.063656000002084</c:v>
                </c:pt>
                <c:pt idx="1">
                  <c:v>-413.08307551000053</c:v>
                </c:pt>
                <c:pt idx="2">
                  <c:v>360.51506083999993</c:v>
                </c:pt>
                <c:pt idx="3">
                  <c:v>42.998083000000406</c:v>
                </c:pt>
              </c:numCache>
            </c:numRef>
          </c:yVal>
          <c:smooth val="0"/>
          <c:extLst>
            <c:ext xmlns:c16="http://schemas.microsoft.com/office/drawing/2014/chart" uri="{C3380CC4-5D6E-409C-BE32-E72D297353CC}">
              <c16:uniqueId val="{00000001-3772-480C-9E19-3D62D4AE5CC1}"/>
            </c:ext>
          </c:extLst>
        </c:ser>
        <c:dLbls>
          <c:showLegendKey val="0"/>
          <c:showVal val="0"/>
          <c:showCatName val="0"/>
          <c:showSerName val="0"/>
          <c:showPercent val="0"/>
          <c:showBubbleSize val="0"/>
        </c:dLbls>
        <c:axId val="2088565615"/>
        <c:axId val="2088563695"/>
      </c:scatte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valAx>
        <c:axId val="2088563695"/>
        <c:scaling>
          <c:orientation val="minMax"/>
        </c:scaling>
        <c:delete val="0"/>
        <c:axPos val="r"/>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88565615"/>
        <c:crosses val="max"/>
        <c:crossBetween val="midCat"/>
      </c:valAx>
      <c:valAx>
        <c:axId val="2088565615"/>
        <c:scaling>
          <c:orientation val="minMax"/>
        </c:scaling>
        <c:delete val="1"/>
        <c:axPos val="t"/>
        <c:majorTickMark val="out"/>
        <c:minorTickMark val="none"/>
        <c:tickLblPos val="nextTo"/>
        <c:crossAx val="2088563695"/>
        <c:crosses val="max"/>
        <c:crossBetween val="midCat"/>
      </c:valAx>
      <c:spPr>
        <a:noFill/>
        <a:ln>
          <a:noFill/>
        </a:ln>
        <a:effectLst/>
      </c:spPr>
    </c:plotArea>
    <c:legend>
      <c:legendPos val="b"/>
      <c:layout>
        <c:manualLayout>
          <c:xMode val="edge"/>
          <c:yMode val="edge"/>
          <c:x val="0.20819293814688258"/>
          <c:y val="0.92187444264478535"/>
          <c:w val="0.27546457088979426"/>
          <c:h val="6.012315322419163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492989323521706E-2"/>
          <c:y val="4.2272529970014447E-2"/>
          <c:w val="0.88254396325459317"/>
          <c:h val="0.77454660010999954"/>
        </c:manualLayout>
      </c:layout>
      <c:barChart>
        <c:barDir val="col"/>
        <c:grouping val="clustered"/>
        <c:varyColors val="0"/>
        <c:ser>
          <c:idx val="0"/>
          <c:order val="0"/>
          <c:tx>
            <c:strRef>
              <c:f>'2'!$B$61</c:f>
              <c:strCache>
                <c:ptCount val="1"/>
                <c:pt idx="0">
                  <c:v>2025</c:v>
                </c:pt>
              </c:strCache>
            </c:strRef>
          </c:tx>
          <c:spPr>
            <a:solidFill>
              <a:schemeClr val="accent1"/>
            </a:solidFill>
            <a:ln>
              <a:noFill/>
            </a:ln>
            <a:effectLst/>
          </c:spPr>
          <c:invertIfNegative val="0"/>
          <c:dPt>
            <c:idx val="11"/>
            <c:invertIfNegative val="0"/>
            <c:bubble3D val="0"/>
            <c:extLst>
              <c:ext xmlns:c16="http://schemas.microsoft.com/office/drawing/2014/chart" uri="{C3380CC4-5D6E-409C-BE32-E72D297353CC}">
                <c16:uniqueId val="{00000001-D2EA-4068-AE11-B2D57ACC5115}"/>
              </c:ext>
            </c:extLst>
          </c:dPt>
          <c:cat>
            <c:strRef>
              <c:f>'2'!$A$62:$A$73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'2'!$B$62:$B$73</c:f>
              <c:numCache>
                <c:formatCode>#\ ##0.0</c:formatCode>
                <c:ptCount val="12"/>
                <c:pt idx="0">
                  <c:v>8.6612990831862607E-2</c:v>
                </c:pt>
                <c:pt idx="1">
                  <c:v>-0.15825692909365344</c:v>
                </c:pt>
                <c:pt idx="2">
                  <c:v>-1.2113408577426905</c:v>
                </c:pt>
                <c:pt idx="3">
                  <c:v>-1.8069483098550005</c:v>
                </c:pt>
                <c:pt idx="4">
                  <c:v>-0.97572156400555377</c:v>
                </c:pt>
                <c:pt idx="5">
                  <c:v>-0.5881417364633087</c:v>
                </c:pt>
                <c:pt idx="6">
                  <c:v>-0.97600819640316061</c:v>
                </c:pt>
                <c:pt idx="7">
                  <c:v>-0.59733248516775517</c:v>
                </c:pt>
                <c:pt idx="8">
                  <c:v>-1.1672112566787807</c:v>
                </c:pt>
                <c:pt idx="9">
                  <c:v>-1.8840557669642624</c:v>
                </c:pt>
                <c:pt idx="10">
                  <c:v>-2.3995152557082111</c:v>
                </c:pt>
                <c:pt idx="11">
                  <c:v>-4.0456680872742758</c:v>
                </c:pt>
              </c:numCache>
            </c:numRef>
          </c:val>
          <c:extLst>
            <c:ext xmlns:c16="http://schemas.microsoft.com/office/drawing/2014/chart" uri="{C3380CC4-5D6E-409C-BE32-E72D297353CC}">
              <c16:uniqueId val="{00000002-D2EA-4068-AE11-B2D57ACC5115}"/>
            </c:ext>
          </c:extLst>
        </c:ser>
        <c:ser>
          <c:idx val="1"/>
          <c:order val="1"/>
          <c:tx>
            <c:strRef>
              <c:f>'2'!$C$61</c:f>
              <c:strCache>
                <c:ptCount val="1"/>
                <c:pt idx="0">
                  <c:v>2026</c:v>
                </c:pt>
              </c:strCache>
            </c:strRef>
          </c:tx>
          <c:spPr>
            <a:solidFill>
              <a:schemeClr val="accent2"/>
            </a:solidFill>
            <a:ln>
              <a:noFill/>
            </a:ln>
            <a:effectLst/>
          </c:spPr>
          <c:invertIfNegative val="0"/>
          <c:cat>
            <c:strRef>
              <c:f>'2'!$A$62:$A$73</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'2'!$C$62:$C$73</c:f>
              <c:numCache>
                <c:formatCode>#\ ##0.0</c:formatCode>
                <c:ptCount val="12"/>
                <c:pt idx="0">
                  <c:v>-4.7302923459643598E-2</c:v>
                </c:pt>
                <c:pt idx="1">
                  <c:v>0.93426605426045251</c:v>
                </c:pt>
                <c:pt idx="2">
                  <c:v>1.4334788514912288E-2</c:v>
                </c:pt>
                <c:pt idx="3">
                  <c:v>-0.30185293959898202</c:v>
                </c:pt>
                <c:pt idx="4">
                  <c:v>0.43884254660979544</c:v>
                </c:pt>
                <c:pt idx="5">
                  <c:v>0.59744648930883215</c:v>
                </c:pt>
                <c:pt idx="6">
                  <c:v>0.11213349483070673</c:v>
                </c:pt>
                <c:pt idx="7">
                  <c:v>0</c:v>
                </c:pt>
                <c:pt idx="8">
                  <c:v>0</c:v>
                </c:pt>
                <c:pt idx="9">
                  <c:v>0</c:v>
                </c:pt>
                <c:pt idx="10">
                  <c:v>0</c:v>
                </c:pt>
                <c:pt idx="11">
                  <c:v>0</c:v>
                </c:pt>
              </c:numCache>
            </c:numRef>
          </c:val>
          <c:extLst>
            <c:ext xmlns:c16="http://schemas.microsoft.com/office/drawing/2014/chart" uri="{C3380CC4-5D6E-409C-BE32-E72D297353CC}">
              <c16:uniqueId val="{00000003-D2EA-4068-AE11-B2D57ACC5115}"/>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crossAx val="433091520"/>
        <c:crosses val="autoZero"/>
        <c:crossBetween val="between"/>
      </c:valAx>
      <c:spPr>
        <a:noFill/>
        <a:ln>
          <a:noFill/>
        </a:ln>
        <a:effectLst/>
      </c:spPr>
    </c:plotArea>
    <c:legend>
      <c:legendPos val="r"/>
      <c:layout>
        <c:manualLayout>
          <c:xMode val="edge"/>
          <c:yMode val="edge"/>
          <c:x val="0.23291573627923376"/>
          <c:y val="0.94771835055898512"/>
          <c:w val="0.41928321153847165"/>
          <c:h val="4.226882124812518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lv-LV"/>
        </a:p>
      </c:txPr>
    </c:legend>
    <c:plotVisOnly val="0"/>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lv-LV"/>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en-US"/>
              <a:t>Procentu izdevumu pieaugum</a:t>
            </a:r>
            <a:r>
              <a:rPr lang="lv-LV"/>
              <a:t>a temps</a:t>
            </a:r>
            <a:r>
              <a:rPr lang="en-US"/>
              <a:t> </a:t>
            </a:r>
            <a:r>
              <a:rPr lang="lv-LV"/>
              <a:t>2021. - 2026. gadā</a:t>
            </a:r>
          </a:p>
          <a:p>
            <a:pPr>
              <a:defRPr/>
            </a:pPr>
            <a:r>
              <a:rPr lang="lv-LV"/>
              <a:t> (%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lineChart>
        <c:grouping val="standard"/>
        <c:varyColors val="0"/>
        <c:ser>
          <c:idx val="0"/>
          <c:order val="0"/>
          <c:tx>
            <c:strRef>
              <c:f>Grafiki!$AB$105:$CO$105</c:f>
              <c:strCache>
                <c:ptCount val="66"/>
                <c:pt idx="0">
                  <c:v>2021M02</c:v>
                </c:pt>
                <c:pt idx="1">
                  <c:v>2021M03</c:v>
                </c:pt>
                <c:pt idx="2">
                  <c:v>2021M04</c:v>
                </c:pt>
                <c:pt idx="3">
                  <c:v>2021M05</c:v>
                </c:pt>
                <c:pt idx="4">
                  <c:v>2021M06</c:v>
                </c:pt>
                <c:pt idx="5">
                  <c:v>2021M07</c:v>
                </c:pt>
                <c:pt idx="6">
                  <c:v>2021M08</c:v>
                </c:pt>
                <c:pt idx="7">
                  <c:v>2021M09</c:v>
                </c:pt>
                <c:pt idx="8">
                  <c:v>2021M10</c:v>
                </c:pt>
                <c:pt idx="9">
                  <c:v>2021M11</c:v>
                </c:pt>
                <c:pt idx="10">
                  <c:v>2021M12</c:v>
                </c:pt>
                <c:pt idx="11">
                  <c:v>2022M01</c:v>
                </c:pt>
                <c:pt idx="12">
                  <c:v>2022M02</c:v>
                </c:pt>
                <c:pt idx="13">
                  <c:v>2022M03</c:v>
                </c:pt>
                <c:pt idx="14">
                  <c:v>2022M04</c:v>
                </c:pt>
                <c:pt idx="15">
                  <c:v>2022M05</c:v>
                </c:pt>
                <c:pt idx="16">
                  <c:v>2022M06</c:v>
                </c:pt>
                <c:pt idx="17">
                  <c:v>2022M07</c:v>
                </c:pt>
                <c:pt idx="18">
                  <c:v>2022M08</c:v>
                </c:pt>
                <c:pt idx="19">
                  <c:v>2022M09</c:v>
                </c:pt>
                <c:pt idx="20">
                  <c:v>2022M10</c:v>
                </c:pt>
                <c:pt idx="21">
                  <c:v>2022M11</c:v>
                </c:pt>
                <c:pt idx="22">
                  <c:v>2022M12</c:v>
                </c:pt>
                <c:pt idx="23">
                  <c:v>2023M01</c:v>
                </c:pt>
                <c:pt idx="24">
                  <c:v>2023M02</c:v>
                </c:pt>
                <c:pt idx="25">
                  <c:v>2023M03</c:v>
                </c:pt>
                <c:pt idx="26">
                  <c:v>2023M04</c:v>
                </c:pt>
                <c:pt idx="27">
                  <c:v>2023M05</c:v>
                </c:pt>
                <c:pt idx="28">
                  <c:v>2023M06</c:v>
                </c:pt>
                <c:pt idx="29">
                  <c:v>2023M07</c:v>
                </c:pt>
                <c:pt idx="30">
                  <c:v>2023M08</c:v>
                </c:pt>
                <c:pt idx="31">
                  <c:v>2023M09</c:v>
                </c:pt>
                <c:pt idx="32">
                  <c:v>2023M10</c:v>
                </c:pt>
                <c:pt idx="33">
                  <c:v>2023M11</c:v>
                </c:pt>
                <c:pt idx="34">
                  <c:v>2023M12</c:v>
                </c:pt>
                <c:pt idx="35">
                  <c:v>2024M01</c:v>
                </c:pt>
                <c:pt idx="36">
                  <c:v>2024M02</c:v>
                </c:pt>
                <c:pt idx="37">
                  <c:v>2024M03</c:v>
                </c:pt>
                <c:pt idx="38">
                  <c:v>2024M04</c:v>
                </c:pt>
                <c:pt idx="39">
                  <c:v>2024M05</c:v>
                </c:pt>
                <c:pt idx="40">
                  <c:v>2024M06</c:v>
                </c:pt>
                <c:pt idx="41">
                  <c:v>2024M07</c:v>
                </c:pt>
                <c:pt idx="42">
                  <c:v>2024M08</c:v>
                </c:pt>
                <c:pt idx="43">
                  <c:v>2024M09</c:v>
                </c:pt>
                <c:pt idx="44">
                  <c:v>2024M10</c:v>
                </c:pt>
                <c:pt idx="45">
                  <c:v>2024M11</c:v>
                </c:pt>
                <c:pt idx="46">
                  <c:v>2024M12</c:v>
                </c:pt>
                <c:pt idx="47">
                  <c:v>2025M01</c:v>
                </c:pt>
                <c:pt idx="48">
                  <c:v>2025M02</c:v>
                </c:pt>
                <c:pt idx="49">
                  <c:v>2025M03</c:v>
                </c:pt>
                <c:pt idx="50">
                  <c:v>2025M04</c:v>
                </c:pt>
                <c:pt idx="51">
                  <c:v>2025M05</c:v>
                </c:pt>
                <c:pt idx="52">
                  <c:v>2025M06</c:v>
                </c:pt>
                <c:pt idx="53">
                  <c:v>2025M07</c:v>
                </c:pt>
                <c:pt idx="54">
                  <c:v>2025M08</c:v>
                </c:pt>
                <c:pt idx="55">
                  <c:v>2025M09</c:v>
                </c:pt>
                <c:pt idx="56">
                  <c:v>2025M10</c:v>
                </c:pt>
                <c:pt idx="57">
                  <c:v>2025M11</c:v>
                </c:pt>
                <c:pt idx="58">
                  <c:v>2025M12</c:v>
                </c:pt>
                <c:pt idx="59">
                  <c:v>2026M01</c:v>
                </c:pt>
                <c:pt idx="60">
                  <c:v>2026M02</c:v>
                </c:pt>
                <c:pt idx="61">
                  <c:v>2026M03</c:v>
                </c:pt>
                <c:pt idx="62">
                  <c:v>2026M04</c:v>
                </c:pt>
                <c:pt idx="63">
                  <c:v>2026M05</c:v>
                </c:pt>
                <c:pt idx="64">
                  <c:v>2026M06</c:v>
                </c:pt>
                <c:pt idx="65">
                  <c:v>2026M07</c:v>
                </c:pt>
              </c:strCache>
            </c:strRef>
          </c:tx>
          <c:spPr>
            <a:ln w="28575" cap="rnd">
              <a:solidFill>
                <a:srgbClr val="0749A9"/>
              </a:solidFill>
              <a:round/>
            </a:ln>
            <a:effectLst/>
          </c:spPr>
          <c:marker>
            <c:symbol val="none"/>
          </c:marker>
          <c:cat>
            <c:strRef>
              <c:f>Grafiki!$AA$107:$CO$107</c:f>
              <c:strCache>
                <c:ptCount val="67"/>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pt idx="66">
                  <c:v>2026M07</c:v>
                </c:pt>
              </c:strCache>
            </c:strRef>
          </c:cat>
          <c:val>
            <c:numRef>
              <c:f>Grafiki!$AA$108:$CO$108</c:f>
              <c:numCache>
                <c:formatCode>0.0</c:formatCode>
                <c:ptCount val="67"/>
                <c:pt idx="0">
                  <c:v>-1.3851657866115943</c:v>
                </c:pt>
                <c:pt idx="1">
                  <c:v>4.3709362400410612</c:v>
                </c:pt>
                <c:pt idx="2">
                  <c:v>-32.497494302540204</c:v>
                </c:pt>
                <c:pt idx="3">
                  <c:v>1.7773611458746359</c:v>
                </c:pt>
                <c:pt idx="4">
                  <c:v>24.097914493230931</c:v>
                </c:pt>
                <c:pt idx="5">
                  <c:v>-10.283544088048686</c:v>
                </c:pt>
                <c:pt idx="6">
                  <c:v>-19.461896262896644</c:v>
                </c:pt>
                <c:pt idx="7">
                  <c:v>-4.2696967505501675</c:v>
                </c:pt>
                <c:pt idx="8">
                  <c:v>-0.31345598371123629</c:v>
                </c:pt>
                <c:pt idx="9">
                  <c:v>5.6515076182333672</c:v>
                </c:pt>
                <c:pt idx="10">
                  <c:v>29.682289781575747</c:v>
                </c:pt>
                <c:pt idx="11">
                  <c:v>-59.540117132409925</c:v>
                </c:pt>
                <c:pt idx="12">
                  <c:v>-91.108821769932973</c:v>
                </c:pt>
                <c:pt idx="13">
                  <c:v>-10.107998875454911</c:v>
                </c:pt>
                <c:pt idx="14">
                  <c:v>18.879405000684969</c:v>
                </c:pt>
                <c:pt idx="15">
                  <c:v>-82.903799027906956</c:v>
                </c:pt>
                <c:pt idx="16">
                  <c:v>157.16154100757342</c:v>
                </c:pt>
                <c:pt idx="17">
                  <c:v>-77.400265075128914</c:v>
                </c:pt>
                <c:pt idx="18">
                  <c:v>6.5491373166983493</c:v>
                </c:pt>
                <c:pt idx="19">
                  <c:v>63.12224882182602</c:v>
                </c:pt>
                <c:pt idx="20">
                  <c:v>46.004202298832809</c:v>
                </c:pt>
                <c:pt idx="21">
                  <c:v>-19.723897831262249</c:v>
                </c:pt>
                <c:pt idx="22">
                  <c:v>-21.592126190507827</c:v>
                </c:pt>
                <c:pt idx="23">
                  <c:v>-14.657378211839514</c:v>
                </c:pt>
                <c:pt idx="24">
                  <c:v>21.063725747786563</c:v>
                </c:pt>
                <c:pt idx="25">
                  <c:v>5.0686922128414267</c:v>
                </c:pt>
                <c:pt idx="26">
                  <c:v>160.19041632510584</c:v>
                </c:pt>
                <c:pt idx="27">
                  <c:v>68.468124458715749</c:v>
                </c:pt>
                <c:pt idx="28">
                  <c:v>18.078020140888867</c:v>
                </c:pt>
                <c:pt idx="29">
                  <c:v>-19.168758327369659</c:v>
                </c:pt>
                <c:pt idx="30">
                  <c:v>-25.447205399608308</c:v>
                </c:pt>
                <c:pt idx="31">
                  <c:v>56.448328443574695</c:v>
                </c:pt>
                <c:pt idx="32">
                  <c:v>3.8368096597827019</c:v>
                </c:pt>
                <c:pt idx="33">
                  <c:v>-22.534268544226549</c:v>
                </c:pt>
                <c:pt idx="34">
                  <c:v>61.674875396245909</c:v>
                </c:pt>
                <c:pt idx="35">
                  <c:v>-56.489891304269534</c:v>
                </c:pt>
                <c:pt idx="36">
                  <c:v>822.46405352019542</c:v>
                </c:pt>
                <c:pt idx="37">
                  <c:v>6.5088707325763835</c:v>
                </c:pt>
                <c:pt idx="38">
                  <c:v>151.02669942414312</c:v>
                </c:pt>
                <c:pt idx="39">
                  <c:v>304.52781841371774</c:v>
                </c:pt>
                <c:pt idx="40">
                  <c:v>-22.683334318055103</c:v>
                </c:pt>
                <c:pt idx="41">
                  <c:v>34.560432710455075</c:v>
                </c:pt>
                <c:pt idx="42">
                  <c:v>1236.1675845599573</c:v>
                </c:pt>
                <c:pt idx="43">
                  <c:v>14.498066839040362</c:v>
                </c:pt>
                <c:pt idx="44">
                  <c:v>4.7463485144670443</c:v>
                </c:pt>
                <c:pt idx="45">
                  <c:v>9.8079565095890757</c:v>
                </c:pt>
                <c:pt idx="46">
                  <c:v>-9.5706772528036907</c:v>
                </c:pt>
                <c:pt idx="47">
                  <c:v>290.97975897031654</c:v>
                </c:pt>
                <c:pt idx="48">
                  <c:v>128.49443585367811</c:v>
                </c:pt>
                <c:pt idx="49">
                  <c:v>-4.8390872577275559</c:v>
                </c:pt>
                <c:pt idx="50">
                  <c:v>4.2084333129382685</c:v>
                </c:pt>
                <c:pt idx="51">
                  <c:v>-91.778895116983222</c:v>
                </c:pt>
                <c:pt idx="52">
                  <c:v>47.040055728288564</c:v>
                </c:pt>
                <c:pt idx="53">
                  <c:v>-5.5950308996094265</c:v>
                </c:pt>
                <c:pt idx="54">
                  <c:v>63.147919670969287</c:v>
                </c:pt>
                <c:pt idx="55">
                  <c:v>-16.890223833639411</c:v>
                </c:pt>
                <c:pt idx="56">
                  <c:v>17.68058319514121</c:v>
                </c:pt>
                <c:pt idx="57">
                  <c:v>-8.097984668250902</c:v>
                </c:pt>
                <c:pt idx="58">
                  <c:v>-44.099598343103018</c:v>
                </c:pt>
                <c:pt idx="59">
                  <c:v>-4.8524464360349384</c:v>
                </c:pt>
                <c:pt idx="60">
                  <c:v>8.9491752657480959</c:v>
                </c:pt>
                <c:pt idx="61">
                  <c:v>-2.7357494547423471</c:v>
                </c:pt>
                <c:pt idx="62">
                  <c:v>-7.4099665983613363</c:v>
                </c:pt>
                <c:pt idx="63">
                  <c:v>-27.401528826553246</c:v>
                </c:pt>
                <c:pt idx="64">
                  <c:v>42.764052038900672</c:v>
                </c:pt>
                <c:pt idx="65">
                  <c:v>187.66714785030376</c:v>
                </c:pt>
                <c:pt idx="66">
                  <c:v>4.6552243467967003</c:v>
                </c:pt>
              </c:numCache>
            </c:numRef>
          </c:val>
          <c:smooth val="0"/>
          <c:extLst>
            <c:ext xmlns:c16="http://schemas.microsoft.com/office/drawing/2014/chart" uri="{C3380CC4-5D6E-409C-BE32-E72D297353CC}">
              <c16:uniqueId val="{00000000-7A8B-4423-9CC6-888FF495CCF3}"/>
            </c:ext>
          </c:extLst>
        </c:ser>
        <c:dLbls>
          <c:showLegendKey val="0"/>
          <c:showVal val="0"/>
          <c:showCatName val="0"/>
          <c:showSerName val="0"/>
          <c:showPercent val="0"/>
          <c:showBubbleSize val="0"/>
        </c:dLbls>
        <c:smooth val="0"/>
        <c:axId val="933373904"/>
        <c:axId val="933366224"/>
      </c:lineChart>
      <c:catAx>
        <c:axId val="93337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66224"/>
        <c:crosses val="autoZero"/>
        <c:auto val="1"/>
        <c:lblAlgn val="ctr"/>
        <c:lblOffset val="100"/>
        <c:noMultiLvlLbl val="0"/>
      </c:catAx>
      <c:valAx>
        <c:axId val="9333662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73904"/>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Atlīdzības izdevumu</a:t>
            </a:r>
            <a:r>
              <a:rPr lang="en-US"/>
              <a:t> pieaugum</a:t>
            </a:r>
            <a:r>
              <a:rPr lang="lv-LV"/>
              <a:t>a temps</a:t>
            </a:r>
            <a:r>
              <a:rPr lang="en-US"/>
              <a:t> </a:t>
            </a:r>
            <a:r>
              <a:rPr lang="lv-LV"/>
              <a:t>2021. - 2026. gadā </a:t>
            </a:r>
          </a:p>
          <a:p>
            <a:pPr>
              <a:defRPr/>
            </a:pPr>
            <a:r>
              <a:rPr lang="lv-LV"/>
              <a:t>(%,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lineChart>
        <c:grouping val="standard"/>
        <c:varyColors val="0"/>
        <c:ser>
          <c:idx val="0"/>
          <c:order val="0"/>
          <c:tx>
            <c:strRef>
              <c:f>Grafiki!$AA$130:$CO$130</c:f>
              <c:strCache>
                <c:ptCount val="67"/>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pt idx="66">
                  <c:v>2026M07</c:v>
                </c:pt>
              </c:strCache>
            </c:strRef>
          </c:tx>
          <c:spPr>
            <a:ln w="28575" cap="rnd">
              <a:solidFill>
                <a:srgbClr val="0749A9"/>
              </a:solidFill>
              <a:round/>
            </a:ln>
            <a:effectLst/>
          </c:spPr>
          <c:marker>
            <c:symbol val="none"/>
          </c:marker>
          <c:cat>
            <c:strRef>
              <c:f>Grafiki!$AA$132:$CO$132</c:f>
              <c:strCache>
                <c:ptCount val="67"/>
                <c:pt idx="0">
                  <c:v>2021M01</c:v>
                </c:pt>
                <c:pt idx="1">
                  <c:v>2021M02</c:v>
                </c:pt>
                <c:pt idx="2">
                  <c:v>2021M03</c:v>
                </c:pt>
                <c:pt idx="3">
                  <c:v>2021M04</c:v>
                </c:pt>
                <c:pt idx="4">
                  <c:v>2021M05</c:v>
                </c:pt>
                <c:pt idx="5">
                  <c:v>2021M06</c:v>
                </c:pt>
                <c:pt idx="6">
                  <c:v>2021M07</c:v>
                </c:pt>
                <c:pt idx="7">
                  <c:v>2021M08</c:v>
                </c:pt>
                <c:pt idx="8">
                  <c:v>2021M09</c:v>
                </c:pt>
                <c:pt idx="9">
                  <c:v>2021M10</c:v>
                </c:pt>
                <c:pt idx="10">
                  <c:v>2021M11</c:v>
                </c:pt>
                <c:pt idx="11">
                  <c:v>2021M12</c:v>
                </c:pt>
                <c:pt idx="12">
                  <c:v>2022M01</c:v>
                </c:pt>
                <c:pt idx="13">
                  <c:v>2022M02</c:v>
                </c:pt>
                <c:pt idx="14">
                  <c:v>2022M03</c:v>
                </c:pt>
                <c:pt idx="15">
                  <c:v>2022M04</c:v>
                </c:pt>
                <c:pt idx="16">
                  <c:v>2022M05</c:v>
                </c:pt>
                <c:pt idx="17">
                  <c:v>2022M06</c:v>
                </c:pt>
                <c:pt idx="18">
                  <c:v>2022M07</c:v>
                </c:pt>
                <c:pt idx="19">
                  <c:v>2022M08</c:v>
                </c:pt>
                <c:pt idx="20">
                  <c:v>2022M09</c:v>
                </c:pt>
                <c:pt idx="21">
                  <c:v>2022M10</c:v>
                </c:pt>
                <c:pt idx="22">
                  <c:v>2022M11</c:v>
                </c:pt>
                <c:pt idx="23">
                  <c:v>2022M12</c:v>
                </c:pt>
                <c:pt idx="24">
                  <c:v>2023M01</c:v>
                </c:pt>
                <c:pt idx="25">
                  <c:v>2023M02</c:v>
                </c:pt>
                <c:pt idx="26">
                  <c:v>2023M03</c:v>
                </c:pt>
                <c:pt idx="27">
                  <c:v>2023M04</c:v>
                </c:pt>
                <c:pt idx="28">
                  <c:v>2023M05</c:v>
                </c:pt>
                <c:pt idx="29">
                  <c:v>2023M06</c:v>
                </c:pt>
                <c:pt idx="30">
                  <c:v>2023M07</c:v>
                </c:pt>
                <c:pt idx="31">
                  <c:v>2023M08</c:v>
                </c:pt>
                <c:pt idx="32">
                  <c:v>2023M09</c:v>
                </c:pt>
                <c:pt idx="33">
                  <c:v>2023M10</c:v>
                </c:pt>
                <c:pt idx="34">
                  <c:v>2023M11</c:v>
                </c:pt>
                <c:pt idx="35">
                  <c:v>2023M12</c:v>
                </c:pt>
                <c:pt idx="36">
                  <c:v>2024M01</c:v>
                </c:pt>
                <c:pt idx="37">
                  <c:v>2024M02</c:v>
                </c:pt>
                <c:pt idx="38">
                  <c:v>2024M03</c:v>
                </c:pt>
                <c:pt idx="39">
                  <c:v>2024M04</c:v>
                </c:pt>
                <c:pt idx="40">
                  <c:v>2024M05</c:v>
                </c:pt>
                <c:pt idx="41">
                  <c:v>2024M06</c:v>
                </c:pt>
                <c:pt idx="42">
                  <c:v>2024M07</c:v>
                </c:pt>
                <c:pt idx="43">
                  <c:v>2024M08</c:v>
                </c:pt>
                <c:pt idx="44">
                  <c:v>2024M09</c:v>
                </c:pt>
                <c:pt idx="45">
                  <c:v>2024M10</c:v>
                </c:pt>
                <c:pt idx="46">
                  <c:v>2024M11</c:v>
                </c:pt>
                <c:pt idx="47">
                  <c:v>2024M12</c:v>
                </c:pt>
                <c:pt idx="48">
                  <c:v>2025M01</c:v>
                </c:pt>
                <c:pt idx="49">
                  <c:v>2025M02</c:v>
                </c:pt>
                <c:pt idx="50">
                  <c:v>2025M03</c:v>
                </c:pt>
                <c:pt idx="51">
                  <c:v>2025M04</c:v>
                </c:pt>
                <c:pt idx="52">
                  <c:v>2025M05</c:v>
                </c:pt>
                <c:pt idx="53">
                  <c:v>2025M06</c:v>
                </c:pt>
                <c:pt idx="54">
                  <c:v>2025M07</c:v>
                </c:pt>
                <c:pt idx="55">
                  <c:v>2025M08</c:v>
                </c:pt>
                <c:pt idx="56">
                  <c:v>2025M09</c:v>
                </c:pt>
                <c:pt idx="57">
                  <c:v>2025M10</c:v>
                </c:pt>
                <c:pt idx="58">
                  <c:v>2025M11</c:v>
                </c:pt>
                <c:pt idx="59">
                  <c:v>2025M12</c:v>
                </c:pt>
                <c:pt idx="60">
                  <c:v>2026M01</c:v>
                </c:pt>
                <c:pt idx="61">
                  <c:v>2026M02</c:v>
                </c:pt>
                <c:pt idx="62">
                  <c:v>2026M03</c:v>
                </c:pt>
                <c:pt idx="63">
                  <c:v>2026M04</c:v>
                </c:pt>
                <c:pt idx="64">
                  <c:v>2026M05</c:v>
                </c:pt>
                <c:pt idx="65">
                  <c:v>2026M06</c:v>
                </c:pt>
                <c:pt idx="66">
                  <c:v>2026M07</c:v>
                </c:pt>
              </c:strCache>
            </c:strRef>
          </c:cat>
          <c:val>
            <c:numRef>
              <c:f>Grafiki!$AA$133:$CO$133</c:f>
              <c:numCache>
                <c:formatCode>0.0</c:formatCode>
                <c:ptCount val="67"/>
                <c:pt idx="0">
                  <c:v>-0.25688267367762307</c:v>
                </c:pt>
                <c:pt idx="1">
                  <c:v>7.8138366253799774</c:v>
                </c:pt>
                <c:pt idx="2">
                  <c:v>10.333079727360101</c:v>
                </c:pt>
                <c:pt idx="3">
                  <c:v>6.9098435187976577</c:v>
                </c:pt>
                <c:pt idx="4">
                  <c:v>11.855527910361573</c:v>
                </c:pt>
                <c:pt idx="5">
                  <c:v>19.562704327064083</c:v>
                </c:pt>
                <c:pt idx="6">
                  <c:v>-4.174119581260527E-2</c:v>
                </c:pt>
                <c:pt idx="7">
                  <c:v>8.2112202866266841</c:v>
                </c:pt>
                <c:pt idx="8">
                  <c:v>7.0921425891417016</c:v>
                </c:pt>
                <c:pt idx="9">
                  <c:v>6.1509914071735636</c:v>
                </c:pt>
                <c:pt idx="10">
                  <c:v>6.7397866059281171</c:v>
                </c:pt>
                <c:pt idx="11">
                  <c:v>9.9746915411785153</c:v>
                </c:pt>
                <c:pt idx="12">
                  <c:v>5.7463268399040857</c:v>
                </c:pt>
                <c:pt idx="13">
                  <c:v>1.4310913268210186</c:v>
                </c:pt>
                <c:pt idx="14">
                  <c:v>-2.566144050417023</c:v>
                </c:pt>
                <c:pt idx="15">
                  <c:v>0.74766857132080133</c:v>
                </c:pt>
                <c:pt idx="16">
                  <c:v>10.496585813051411</c:v>
                </c:pt>
                <c:pt idx="17">
                  <c:v>-2.0960836727340109</c:v>
                </c:pt>
                <c:pt idx="18">
                  <c:v>14.627832178744569</c:v>
                </c:pt>
                <c:pt idx="19">
                  <c:v>5.9054055482245786</c:v>
                </c:pt>
                <c:pt idx="20">
                  <c:v>9.1132730321077986</c:v>
                </c:pt>
                <c:pt idx="21">
                  <c:v>9.4067707228174129</c:v>
                </c:pt>
                <c:pt idx="22">
                  <c:v>8.8309660586047585</c:v>
                </c:pt>
                <c:pt idx="23">
                  <c:v>12.263048576230929</c:v>
                </c:pt>
                <c:pt idx="24">
                  <c:v>9.4402003627678255</c:v>
                </c:pt>
                <c:pt idx="25">
                  <c:v>16.617341234186839</c:v>
                </c:pt>
                <c:pt idx="26">
                  <c:v>19.662650090551082</c:v>
                </c:pt>
                <c:pt idx="27">
                  <c:v>11.7288213842603</c:v>
                </c:pt>
                <c:pt idx="28">
                  <c:v>10.635576031536914</c:v>
                </c:pt>
                <c:pt idx="29">
                  <c:v>19.277259804752745</c:v>
                </c:pt>
                <c:pt idx="30">
                  <c:v>11.437420565168523</c:v>
                </c:pt>
                <c:pt idx="31">
                  <c:v>20.253512590380907</c:v>
                </c:pt>
                <c:pt idx="32">
                  <c:v>15.065549255226202</c:v>
                </c:pt>
                <c:pt idx="33">
                  <c:v>18.216958567790925</c:v>
                </c:pt>
                <c:pt idx="34">
                  <c:v>17.240570190378349</c:v>
                </c:pt>
                <c:pt idx="35">
                  <c:v>14.104054672852854</c:v>
                </c:pt>
                <c:pt idx="36">
                  <c:v>37.730114290846672</c:v>
                </c:pt>
                <c:pt idx="37">
                  <c:v>20.691421050255229</c:v>
                </c:pt>
                <c:pt idx="38">
                  <c:v>16.319777389807413</c:v>
                </c:pt>
                <c:pt idx="39">
                  <c:v>16.135556670579064</c:v>
                </c:pt>
                <c:pt idx="40">
                  <c:v>20.007573011108647</c:v>
                </c:pt>
                <c:pt idx="41">
                  <c:v>8.2891762042339536</c:v>
                </c:pt>
                <c:pt idx="42">
                  <c:v>17.747089776276255</c:v>
                </c:pt>
                <c:pt idx="43">
                  <c:v>13.799444095323963</c:v>
                </c:pt>
                <c:pt idx="44">
                  <c:v>7.5561697921742166</c:v>
                </c:pt>
                <c:pt idx="45">
                  <c:v>10.176608158605589</c:v>
                </c:pt>
                <c:pt idx="46">
                  <c:v>9.1570351092393594</c:v>
                </c:pt>
                <c:pt idx="47">
                  <c:v>3.0672944958208177</c:v>
                </c:pt>
                <c:pt idx="48">
                  <c:v>1.5029747305605099</c:v>
                </c:pt>
                <c:pt idx="49">
                  <c:v>4.4907091528115757</c:v>
                </c:pt>
                <c:pt idx="50">
                  <c:v>3.3728179704352925</c:v>
                </c:pt>
                <c:pt idx="51">
                  <c:v>17.337383968222198</c:v>
                </c:pt>
                <c:pt idx="52">
                  <c:v>-0.70380025426861437</c:v>
                </c:pt>
                <c:pt idx="53">
                  <c:v>4.575847650535664</c:v>
                </c:pt>
                <c:pt idx="54">
                  <c:v>9.4240763263455278</c:v>
                </c:pt>
                <c:pt idx="55">
                  <c:v>9.0020553887757444</c:v>
                </c:pt>
                <c:pt idx="56">
                  <c:v>8.3291280269438346</c:v>
                </c:pt>
                <c:pt idx="57">
                  <c:v>9.4749663757909985</c:v>
                </c:pt>
                <c:pt idx="58">
                  <c:v>2.1881533209880928</c:v>
                </c:pt>
                <c:pt idx="59">
                  <c:v>7.5450308479727966</c:v>
                </c:pt>
                <c:pt idx="60">
                  <c:v>2.6679238390338185</c:v>
                </c:pt>
                <c:pt idx="61">
                  <c:v>2.7587705910803351</c:v>
                </c:pt>
                <c:pt idx="62">
                  <c:v>4.4095803408100949</c:v>
                </c:pt>
                <c:pt idx="63">
                  <c:v>-0.73056921395871655</c:v>
                </c:pt>
                <c:pt idx="64">
                  <c:v>6.2697123616774633</c:v>
                </c:pt>
                <c:pt idx="65">
                  <c:v>3.4471447456677851</c:v>
                </c:pt>
                <c:pt idx="66">
                  <c:v>3.7211132564585796</c:v>
                </c:pt>
              </c:numCache>
            </c:numRef>
          </c:val>
          <c:smooth val="0"/>
          <c:extLst>
            <c:ext xmlns:c16="http://schemas.microsoft.com/office/drawing/2014/chart" uri="{C3380CC4-5D6E-409C-BE32-E72D297353CC}">
              <c16:uniqueId val="{00000000-DB8E-4728-B8CD-064C5A4F4CFD}"/>
            </c:ext>
          </c:extLst>
        </c:ser>
        <c:dLbls>
          <c:showLegendKey val="0"/>
          <c:showVal val="0"/>
          <c:showCatName val="0"/>
          <c:showSerName val="0"/>
          <c:showPercent val="0"/>
          <c:showBubbleSize val="0"/>
        </c:dLbls>
        <c:smooth val="0"/>
        <c:axId val="933373904"/>
        <c:axId val="933366224"/>
      </c:lineChart>
      <c:catAx>
        <c:axId val="933373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66224"/>
        <c:crosses val="autoZero"/>
        <c:auto val="1"/>
        <c:lblAlgn val="ctr"/>
        <c:lblOffset val="100"/>
        <c:noMultiLvlLbl val="0"/>
      </c:catAx>
      <c:valAx>
        <c:axId val="9333662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933373904"/>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a:t>
            </a:r>
            <a:r>
              <a:rPr lang="en-US"/>
              <a:t>zdevumu pieaugum</a:t>
            </a:r>
            <a:r>
              <a:rPr lang="lv-LV"/>
              <a:t>a temps</a:t>
            </a:r>
            <a:r>
              <a:rPr lang="en-US"/>
              <a:t> </a:t>
            </a:r>
            <a:endParaRPr lang="lv-LV"/>
          </a:p>
          <a:p>
            <a:pPr>
              <a:defRPr/>
            </a:pPr>
            <a:r>
              <a:rPr lang="lv-LV"/>
              <a:t> (% pret iepriekšējā perioda attiecīgo mēnesi)</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bar"/>
        <c:grouping val="clustered"/>
        <c:varyColors val="0"/>
        <c:ser>
          <c:idx val="0"/>
          <c:order val="0"/>
          <c:tx>
            <c:strRef>
              <c:f>Grafiki!$A$164</c:f>
              <c:strCache>
                <c:ptCount val="1"/>
                <c:pt idx="0">
                  <c:v>Izdevumi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2-9ABE-4BA2-8DA7-A9D1ED2678C3}"/>
              </c:ext>
            </c:extLst>
          </c:dPt>
          <c:dLbls>
            <c:dLbl>
              <c:idx val="0"/>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2-9ABE-4BA2-8DA7-A9D1ED2678C3}"/>
                </c:ext>
              </c:extLst>
            </c:dLbl>
            <c:dLbl>
              <c:idx val="3"/>
              <c:layout>
                <c:manualLayout>
                  <c:x val="4.1891251602636678E-4"/>
                  <c:y val="9.2982718231989407E-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E6-4DDB-9BF6-45C4017BAECD}"/>
                </c:ext>
              </c:extLst>
            </c:dLbl>
            <c:dLbl>
              <c:idx val="6"/>
              <c:layout>
                <c:manualLayout>
                  <c:x val="5.99233115998582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17-4D48-A94B-09A12C95270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Grafiki!$A$164:$A$171</c:f>
              <c:strCache>
                <c:ptCount val="8"/>
                <c:pt idx="0">
                  <c:v>Izdevumi</c:v>
                </c:pt>
                <c:pt idx="1">
                  <c:v>Atlīdzība</c:v>
                </c:pt>
                <c:pt idx="2">
                  <c:v>Preces un pakalpojumi</c:v>
                </c:pt>
                <c:pt idx="3">
                  <c:v>Procentu izdevumi</c:v>
                </c:pt>
                <c:pt idx="4">
                  <c:v>Subsīdijas un dotācijas</c:v>
                </c:pt>
                <c:pt idx="5">
                  <c:v>Sociālie pabalsti</c:v>
                </c:pt>
                <c:pt idx="6">
                  <c:v>Kapitālie izdevumi</c:v>
                </c:pt>
                <c:pt idx="7">
                  <c:v>Pārējie izdevumi</c:v>
                </c:pt>
              </c:strCache>
            </c:strRef>
          </c:cat>
          <c:val>
            <c:numRef>
              <c:f>Grafiki!$D$164:$D$171</c:f>
              <c:numCache>
                <c:formatCode>0.0</c:formatCode>
                <c:ptCount val="8"/>
                <c:pt idx="0">
                  <c:v>11.61237330444294</c:v>
                </c:pt>
                <c:pt idx="1">
                  <c:v>3.7211132564585796</c:v>
                </c:pt>
                <c:pt idx="2">
                  <c:v>0.20706017377860064</c:v>
                </c:pt>
                <c:pt idx="3">
                  <c:v>4.6552243467967003</c:v>
                </c:pt>
                <c:pt idx="4">
                  <c:v>22.564235964681288</c:v>
                </c:pt>
                <c:pt idx="5">
                  <c:v>9.5539001731939095</c:v>
                </c:pt>
                <c:pt idx="6">
                  <c:v>20.744561384335313</c:v>
                </c:pt>
                <c:pt idx="7">
                  <c:v>52.509351888247863</c:v>
                </c:pt>
              </c:numCache>
            </c:numRef>
          </c:val>
          <c:extLst>
            <c:ext xmlns:c16="http://schemas.microsoft.com/office/drawing/2014/chart" uri="{C3380CC4-5D6E-409C-BE32-E72D297353CC}">
              <c16:uniqueId val="{00000000-9ABE-4BA2-8DA7-A9D1ED2678C3}"/>
            </c:ext>
          </c:extLst>
        </c:ser>
        <c:dLbls>
          <c:dLblPos val="outEnd"/>
          <c:showLegendKey val="0"/>
          <c:showVal val="1"/>
          <c:showCatName val="0"/>
          <c:showSerName val="0"/>
          <c:showPercent val="0"/>
          <c:showBubbleSize val="0"/>
        </c:dLbls>
        <c:gapWidth val="182"/>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max val="95"/>
        </c:scaling>
        <c:delete val="1"/>
        <c:axPos val="t"/>
        <c:majorGridlines>
          <c:spPr>
            <a:ln w="9525" cap="flat" cmpd="sng" algn="ctr">
              <a:noFill/>
              <a:round/>
            </a:ln>
            <a:effectLst/>
          </c:spPr>
        </c:majorGridlines>
        <c:numFmt formatCode="#,##0.0" sourceLinked="0"/>
        <c:majorTickMark val="out"/>
        <c:minorTickMark val="none"/>
        <c:tickLblPos val="nextTo"/>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Ieņēmumu</a:t>
            </a:r>
            <a:r>
              <a:rPr lang="en-US"/>
              <a:t> pieaugum</a:t>
            </a:r>
            <a:r>
              <a:rPr lang="lv-LV"/>
              <a:t>a temps</a:t>
            </a:r>
            <a:r>
              <a:rPr lang="en-US"/>
              <a:t> </a:t>
            </a:r>
            <a:endParaRPr lang="lv-LV"/>
          </a:p>
          <a:p>
            <a:pPr>
              <a:defRPr/>
            </a:pPr>
            <a:r>
              <a:rPr lang="lv-LV"/>
              <a:t> (% pret iepriekšējā perioda attiecīgo mēnesi)</a:t>
            </a:r>
            <a:endParaRPr lang="en-US"/>
          </a:p>
        </c:rich>
      </c:tx>
      <c:layout>
        <c:manualLayout>
          <c:xMode val="edge"/>
          <c:yMode val="edge"/>
          <c:x val="0.29848818897637797"/>
          <c:y val="0"/>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0.2472182964473903"/>
          <c:y val="0.10775963132787783"/>
          <c:w val="0.70206763738291922"/>
          <c:h val="0.77783432114835382"/>
        </c:manualLayout>
      </c:layout>
      <c:barChart>
        <c:barDir val="bar"/>
        <c:grouping val="clustered"/>
        <c:varyColors val="0"/>
        <c:ser>
          <c:idx val="1"/>
          <c:order val="0"/>
          <c:tx>
            <c:strRef>
              <c:f>Grafiki!$G$164</c:f>
              <c:strCache>
                <c:ptCount val="1"/>
                <c:pt idx="0">
                  <c:v>Ieņēmumi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2-F53B-4FD0-9738-668D54A83CF0}"/>
              </c:ext>
            </c:extLst>
          </c:dPt>
          <c:dLbls>
            <c:dLbl>
              <c:idx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2-F53B-4FD0-9738-668D54A83CF0}"/>
                </c:ext>
              </c:extLst>
            </c:dLbl>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Grafiki!$G$164:$G$169</c:f>
              <c:strCache>
                <c:ptCount val="6"/>
                <c:pt idx="0">
                  <c:v>Ieņēmumi</c:v>
                </c:pt>
                <c:pt idx="1">
                  <c:v>Nodokļu ieņēmumi</c:v>
                </c:pt>
                <c:pt idx="2">
                  <c:v>Nenodokļu ieņēmumi</c:v>
                </c:pt>
                <c:pt idx="3">
                  <c:v>Pašu ieņēmumi</c:v>
                </c:pt>
                <c:pt idx="4">
                  <c:v>Finansējums no ES fondiem</c:v>
                </c:pt>
                <c:pt idx="5">
                  <c:v>Pārējie ieņēmumi</c:v>
                </c:pt>
              </c:strCache>
            </c:strRef>
          </c:cat>
          <c:val>
            <c:numRef>
              <c:f>Grafiki!$J$164:$J$169</c:f>
              <c:numCache>
                <c:formatCode>0.0</c:formatCode>
                <c:ptCount val="6"/>
                <c:pt idx="0">
                  <c:v>9.1717857769252191</c:v>
                </c:pt>
                <c:pt idx="1">
                  <c:v>9.6833131794717957</c:v>
                </c:pt>
                <c:pt idx="2">
                  <c:v>-4.7706990906147695</c:v>
                </c:pt>
                <c:pt idx="3">
                  <c:v>-7.2145918979595223</c:v>
                </c:pt>
                <c:pt idx="4">
                  <c:v>246.34911085470276</c:v>
                </c:pt>
                <c:pt idx="5" formatCode="#\ ##0.0">
                  <c:v>128.44150421461924</c:v>
                </c:pt>
              </c:numCache>
            </c:numRef>
          </c:val>
          <c:extLst>
            <c:ext xmlns:c16="http://schemas.microsoft.com/office/drawing/2014/chart" uri="{C3380CC4-5D6E-409C-BE32-E72D297353CC}">
              <c16:uniqueId val="{00000001-F53B-4FD0-9738-668D54A83CF0}"/>
            </c:ext>
          </c:extLst>
        </c:ser>
        <c:dLbls>
          <c:showLegendKey val="0"/>
          <c:showVal val="0"/>
          <c:showCatName val="0"/>
          <c:showSerName val="0"/>
          <c:showPercent val="0"/>
          <c:showBubbleSize val="0"/>
        </c:dLbls>
        <c:gapWidth val="241"/>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scaling>
        <c:delete val="0"/>
        <c:axPos val="t"/>
        <c:majorGridlines>
          <c:spPr>
            <a:ln w="9525" cap="flat" cmpd="sng" algn="ctr">
              <a:no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speciālā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9.0175179599305114E-2"/>
          <c:y val="1.2127601466007384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5079421465663607E-2"/>
          <c:w val="0.88254396325459317"/>
          <c:h val="0.74420214706292398"/>
        </c:manualLayout>
      </c:layout>
      <c:barChart>
        <c:barDir val="col"/>
        <c:grouping val="clustered"/>
        <c:varyColors val="0"/>
        <c:ser>
          <c:idx val="0"/>
          <c:order val="0"/>
          <c:tx>
            <c:strRef>
              <c:f>'2'!$B$180</c:f>
              <c:strCache>
                <c:ptCount val="1"/>
                <c:pt idx="0">
                  <c:v>2025</c:v>
                </c:pt>
              </c:strCache>
            </c:strRef>
          </c:tx>
          <c:spPr>
            <a:solidFill>
              <a:schemeClr val="accent1"/>
            </a:solidFill>
            <a:ln>
              <a:noFill/>
            </a:ln>
            <a:effectLst/>
          </c:spPr>
          <c:invertIfNegative val="0"/>
          <c:cat>
            <c:strRef>
              <c:f>'2'!$A$181:$A$192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'2'!$B$181:$B$192</c:f>
              <c:numCache>
                <c:formatCode>#,##0</c:formatCode>
                <c:ptCount val="12"/>
                <c:pt idx="0">
                  <c:v>82756.072209999897</c:v>
                </c:pt>
                <c:pt idx="1">
                  <c:v>81244.570410000044</c:v>
                </c:pt>
                <c:pt idx="2">
                  <c:v>98564.328629999887</c:v>
                </c:pt>
                <c:pt idx="3">
                  <c:v>65220.430290000048</c:v>
                </c:pt>
                <c:pt idx="4">
                  <c:v>170363.10777000012</c:v>
                </c:pt>
                <c:pt idx="5">
                  <c:v>223601.37920999946</c:v>
                </c:pt>
                <c:pt idx="6">
                  <c:v>299206.14576000022</c:v>
                </c:pt>
                <c:pt idx="7">
                  <c:v>378248.12340999953</c:v>
                </c:pt>
                <c:pt idx="8">
                  <c:v>394742.26399999997</c:v>
                </c:pt>
                <c:pt idx="9">
                  <c:v>445386.48235999933</c:v>
                </c:pt>
                <c:pt idx="10">
                  <c:v>473630.13898999989</c:v>
                </c:pt>
                <c:pt idx="11">
                  <c:v>475222.88457000069</c:v>
                </c:pt>
              </c:numCache>
            </c:numRef>
          </c:val>
          <c:extLst>
            <c:ext xmlns:c16="http://schemas.microsoft.com/office/drawing/2014/chart" uri="{C3380CC4-5D6E-409C-BE32-E72D297353CC}">
              <c16:uniqueId val="{00000000-549D-4D7F-AE86-BEF5B9C0912B}"/>
            </c:ext>
          </c:extLst>
        </c:ser>
        <c:ser>
          <c:idx val="1"/>
          <c:order val="1"/>
          <c:tx>
            <c:strRef>
              <c:f>'2'!$C$180</c:f>
              <c:strCache>
                <c:ptCount val="1"/>
                <c:pt idx="0">
                  <c:v>2026</c:v>
                </c:pt>
              </c:strCache>
            </c:strRef>
          </c:tx>
          <c:spPr>
            <a:solidFill>
              <a:schemeClr val="accent3"/>
            </a:solidFill>
            <a:ln>
              <a:noFill/>
            </a:ln>
            <a:effectLst/>
          </c:spPr>
          <c:invertIfNegative val="0"/>
          <c:cat>
            <c:strRef>
              <c:f>'2'!$A$181:$A$192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'2'!$C$181:$C$192</c:f>
              <c:numCache>
                <c:formatCode>#,##0</c:formatCode>
                <c:ptCount val="12"/>
                <c:pt idx="0">
                  <c:v>146223.47600000002</c:v>
                </c:pt>
                <c:pt idx="1">
                  <c:v>148675.25084000011</c:v>
                </c:pt>
                <c:pt idx="2">
                  <c:v>146268.74528999976</c:v>
                </c:pt>
                <c:pt idx="3">
                  <c:v>137317.31988999993</c:v>
                </c:pt>
                <c:pt idx="4">
                  <c:v>242787.93826999981</c:v>
                </c:pt>
                <c:pt idx="5">
                  <c:v>279513.0060200002</c:v>
                </c:pt>
                <c:pt idx="6">
                  <c:v>360515.06083999993</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a:t>
            </a:r>
            <a:r>
              <a:rPr lang="en-US"/>
              <a:t>zdevumu pieaugum</a:t>
            </a:r>
            <a:r>
              <a:rPr lang="lv-LV"/>
              <a:t>a temps</a:t>
            </a:r>
            <a:r>
              <a:rPr lang="en-US"/>
              <a:t> </a:t>
            </a:r>
            <a:endParaRPr lang="lv-LV"/>
          </a:p>
          <a:p>
            <a:pPr>
              <a:defRPr/>
            </a:pPr>
            <a:r>
              <a:rPr lang="lv-LV"/>
              <a:t> (% pret iepriekšējo periodu)</a:t>
            </a:r>
            <a:endParaRPr lang="en-US"/>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bar"/>
        <c:grouping val="clustered"/>
        <c:varyColors val="0"/>
        <c:ser>
          <c:idx val="0"/>
          <c:order val="0"/>
          <c:tx>
            <c:strRef>
              <c:f>Grafiki!$A$164</c:f>
              <c:strCache>
                <c:ptCount val="1"/>
                <c:pt idx="0">
                  <c:v>Izdevumi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1-CB87-4E9C-B99E-CF3D96E0F5EE}"/>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B87-4E9C-B99E-CF3D96E0F5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Grafiki!$A$195:$A$202</c:f>
              <c:strCache>
                <c:ptCount val="8"/>
                <c:pt idx="0">
                  <c:v>Izdevumi</c:v>
                </c:pt>
                <c:pt idx="1">
                  <c:v>Atlīdzība</c:v>
                </c:pt>
                <c:pt idx="2">
                  <c:v>Preces un pakalpojumi</c:v>
                </c:pt>
                <c:pt idx="3">
                  <c:v>Procentu izdevumi</c:v>
                </c:pt>
                <c:pt idx="4">
                  <c:v>Subsīdijas un dotācijas</c:v>
                </c:pt>
                <c:pt idx="5">
                  <c:v>Sociālie pabalsti</c:v>
                </c:pt>
                <c:pt idx="6">
                  <c:v>Kapitālie izdevumi</c:v>
                </c:pt>
                <c:pt idx="7">
                  <c:v>Pārējie izdevumi</c:v>
                </c:pt>
              </c:strCache>
            </c:strRef>
          </c:cat>
          <c:val>
            <c:numRef>
              <c:f>Grafiki!$D$195:$D$202</c:f>
              <c:numCache>
                <c:formatCode>0.0</c:formatCode>
                <c:ptCount val="8"/>
                <c:pt idx="0">
                  <c:v>5.5410142788745844</c:v>
                </c:pt>
                <c:pt idx="1">
                  <c:v>3.2040633847365569</c:v>
                </c:pt>
                <c:pt idx="2">
                  <c:v>-1.2489973128566305</c:v>
                </c:pt>
                <c:pt idx="3">
                  <c:v>13.370257640860174</c:v>
                </c:pt>
                <c:pt idx="4">
                  <c:v>2.1977137311493209</c:v>
                </c:pt>
                <c:pt idx="5">
                  <c:v>7.6996835091456717</c:v>
                </c:pt>
                <c:pt idx="6">
                  <c:v>24.029933338546357</c:v>
                </c:pt>
                <c:pt idx="7">
                  <c:v>-9.2632811764169531</c:v>
                </c:pt>
              </c:numCache>
            </c:numRef>
          </c:val>
          <c:extLst>
            <c:ext xmlns:c16="http://schemas.microsoft.com/office/drawing/2014/chart" uri="{C3380CC4-5D6E-409C-BE32-E72D297353CC}">
              <c16:uniqueId val="{00000002-CB87-4E9C-B99E-CF3D96E0F5EE}"/>
            </c:ext>
          </c:extLst>
        </c:ser>
        <c:dLbls>
          <c:showLegendKey val="0"/>
          <c:showVal val="0"/>
          <c:showCatName val="0"/>
          <c:showSerName val="0"/>
          <c:showPercent val="0"/>
          <c:showBubbleSize val="0"/>
        </c:dLbls>
        <c:gapWidth val="182"/>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max val="95"/>
        </c:scaling>
        <c:delete val="1"/>
        <c:axPos val="t"/>
        <c:majorGridlines>
          <c:spPr>
            <a:ln w="9525" cap="flat" cmpd="sng" algn="ctr">
              <a:noFill/>
              <a:round/>
            </a:ln>
            <a:effectLst/>
          </c:spPr>
        </c:majorGridlines>
        <c:numFmt formatCode="#,##0.0" sourceLinked="0"/>
        <c:majorTickMark val="out"/>
        <c:minorTickMark val="none"/>
        <c:tickLblPos val="nextTo"/>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a:t>Ieņēmumu</a:t>
            </a:r>
            <a:r>
              <a:rPr lang="en-US"/>
              <a:t> pieaugum</a:t>
            </a:r>
            <a:r>
              <a:rPr lang="lv-LV"/>
              <a:t>a temps</a:t>
            </a:r>
            <a:r>
              <a:rPr lang="en-US"/>
              <a:t> </a:t>
            </a:r>
            <a:endParaRPr lang="lv-LV"/>
          </a:p>
          <a:p>
            <a:pPr>
              <a:defRPr/>
            </a:pPr>
            <a:r>
              <a:rPr lang="lv-LV"/>
              <a:t> (% pret iepriekšējo periodu)</a:t>
            </a:r>
            <a:endParaRPr lang="en-US"/>
          </a:p>
        </c:rich>
      </c:tx>
      <c:layout>
        <c:manualLayout>
          <c:xMode val="edge"/>
          <c:yMode val="edge"/>
          <c:x val="0.4055304424975047"/>
          <c:y val="1.2631583135211981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0.2472182964473903"/>
          <c:y val="0.10775963132787783"/>
          <c:w val="0.70206763738291922"/>
          <c:h val="0.77783432114835382"/>
        </c:manualLayout>
      </c:layout>
      <c:barChart>
        <c:barDir val="bar"/>
        <c:grouping val="clustered"/>
        <c:varyColors val="0"/>
        <c:ser>
          <c:idx val="1"/>
          <c:order val="0"/>
          <c:tx>
            <c:strRef>
              <c:f>Grafiki!$G$195</c:f>
              <c:strCache>
                <c:ptCount val="1"/>
                <c:pt idx="0">
                  <c:v>Ieņēmumi</c:v>
                </c:pt>
              </c:strCache>
            </c:strRef>
          </c:tx>
          <c:spPr>
            <a:solidFill>
              <a:srgbClr val="A6A6A6"/>
            </a:solidFill>
            <a:ln>
              <a:noFill/>
            </a:ln>
            <a:effectLst/>
          </c:spPr>
          <c:invertIfNegative val="0"/>
          <c:dPt>
            <c:idx val="0"/>
            <c:invertIfNegative val="0"/>
            <c:bubble3D val="0"/>
            <c:spPr>
              <a:solidFill>
                <a:srgbClr val="012169"/>
              </a:solidFill>
              <a:ln>
                <a:noFill/>
              </a:ln>
              <a:effectLst/>
            </c:spPr>
            <c:extLst>
              <c:ext xmlns:c16="http://schemas.microsoft.com/office/drawing/2014/chart" uri="{C3380CC4-5D6E-409C-BE32-E72D297353CC}">
                <c16:uniqueId val="{00000001-FA82-4F69-87E8-1878463EB9AF}"/>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FA82-4F69-87E8-1878463EB9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Grafiki!$G$195:$G$200</c:f>
              <c:strCache>
                <c:ptCount val="6"/>
                <c:pt idx="0">
                  <c:v>Ieņēmumi</c:v>
                </c:pt>
                <c:pt idx="1">
                  <c:v>Nodokļu ieņēmumi</c:v>
                </c:pt>
                <c:pt idx="2">
                  <c:v>Nenodokļu ieņēmumi</c:v>
                </c:pt>
                <c:pt idx="3">
                  <c:v>Pašu ieņēmumi</c:v>
                </c:pt>
                <c:pt idx="4">
                  <c:v>Finansējums no ES fondiem</c:v>
                </c:pt>
                <c:pt idx="5">
                  <c:v>Pārējie ieņēmumi</c:v>
                </c:pt>
              </c:strCache>
            </c:strRef>
          </c:cat>
          <c:val>
            <c:numRef>
              <c:f>Grafiki!$J$195:$J$200</c:f>
              <c:numCache>
                <c:formatCode>0.0</c:formatCode>
                <c:ptCount val="6"/>
                <c:pt idx="0">
                  <c:v>10.314688068294672</c:v>
                </c:pt>
                <c:pt idx="1">
                  <c:v>6.2593518523222968</c:v>
                </c:pt>
                <c:pt idx="2">
                  <c:v>4.2217545982168474</c:v>
                </c:pt>
                <c:pt idx="3">
                  <c:v>2.519362093664796</c:v>
                </c:pt>
                <c:pt idx="4">
                  <c:v>47.53377302862387</c:v>
                </c:pt>
                <c:pt idx="5">
                  <c:v>-21.576736150415968</c:v>
                </c:pt>
              </c:numCache>
            </c:numRef>
          </c:val>
          <c:extLst>
            <c:ext xmlns:c16="http://schemas.microsoft.com/office/drawing/2014/chart" uri="{C3380CC4-5D6E-409C-BE32-E72D297353CC}">
              <c16:uniqueId val="{00000002-FA82-4F69-87E8-1878463EB9AF}"/>
            </c:ext>
          </c:extLst>
        </c:ser>
        <c:dLbls>
          <c:showLegendKey val="0"/>
          <c:showVal val="0"/>
          <c:showCatName val="0"/>
          <c:showSerName val="0"/>
          <c:showPercent val="0"/>
          <c:showBubbleSize val="0"/>
        </c:dLbls>
        <c:gapWidth val="241"/>
        <c:axId val="138950447"/>
        <c:axId val="138949007"/>
      </c:barChart>
      <c:catAx>
        <c:axId val="138950447"/>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49007"/>
        <c:crosses val="autoZero"/>
        <c:auto val="1"/>
        <c:lblAlgn val="ctr"/>
        <c:lblOffset val="100"/>
        <c:noMultiLvlLbl val="0"/>
      </c:catAx>
      <c:valAx>
        <c:axId val="138949007"/>
        <c:scaling>
          <c:orientation val="minMax"/>
        </c:scaling>
        <c:delete val="0"/>
        <c:axPos val="t"/>
        <c:majorGridlines>
          <c:spPr>
            <a:ln w="9525" cap="flat" cmpd="sng" algn="ctr">
              <a:no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138950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solidFill>
                <a:latin typeface="Verdana" panose="020B0604030504040204" pitchFamily="34" charset="0"/>
                <a:ea typeface="Verdana" panose="020B0604030504040204" pitchFamily="34" charset="0"/>
                <a:cs typeface="+mn-cs"/>
              </a:defRPr>
            </a:pPr>
            <a:r>
              <a:rPr lang="lv-LV" sz="1100" b="1"/>
              <a:t>Konsolidētā kopbudžeta FDP izdevumu prognozes* </a:t>
            </a:r>
            <a:r>
              <a:rPr lang="lv-LV" sz="1100" b="1" i="0" u="none" strike="noStrike" kern="1200" spc="0" baseline="0">
                <a:solidFill>
                  <a:sysClr val="windowText" lastClr="000000"/>
                </a:solidFill>
                <a:latin typeface="Verdana" panose="020B0604030504040204" pitchFamily="34" charset="0"/>
                <a:ea typeface="Verdana" panose="020B0604030504040204" pitchFamily="34" charset="0"/>
              </a:rPr>
              <a:t>kumulatīvā </a:t>
            </a:r>
            <a:r>
              <a:rPr lang="lv-LV" sz="1100" b="1"/>
              <a:t>izpildes dinamika</a:t>
            </a:r>
            <a:r>
              <a:rPr lang="lv-LV" sz="1100" b="1" baseline="0"/>
              <a:t> (</a:t>
            </a:r>
            <a:r>
              <a:rPr lang="lv-LV" sz="1100" b="1"/>
              <a:t>%)</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6.1584922611546362E-2"/>
          <c:y val="9.0533230199510872E-2"/>
          <c:w val="0.93541964572828218"/>
          <c:h val="0.73583590784341379"/>
        </c:manualLayout>
      </c:layout>
      <c:lineChart>
        <c:grouping val="standard"/>
        <c:varyColors val="0"/>
        <c:ser>
          <c:idx val="1"/>
          <c:order val="0"/>
          <c:tx>
            <c:v>Kumulatīvā izpilde</c:v>
          </c:tx>
          <c:spPr>
            <a:ln w="28575" cap="rnd">
              <a:solidFill>
                <a:srgbClr val="012169"/>
              </a:solidFill>
              <a:round/>
            </a:ln>
            <a:effectLst/>
          </c:spPr>
          <c:marker>
            <c:symbol val="diamond"/>
            <c:size val="10"/>
            <c:spPr>
              <a:solidFill>
                <a:srgbClr val="012169"/>
              </a:solidFill>
              <a:ln w="9525">
                <a:solidFill>
                  <a:srgbClr val="012169"/>
                </a:solidFill>
              </a:ln>
              <a:effectLst/>
            </c:spPr>
          </c:marker>
          <c:dLbls>
            <c:dLbl>
              <c:idx val="1"/>
              <c:layout>
                <c:manualLayout>
                  <c:x val="-2.2995841649884455E-2"/>
                  <c:y val="-5.74845952379510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BA-427C-B70C-0705295B2E10}"/>
                </c:ext>
              </c:extLst>
            </c:dLbl>
            <c:dLbl>
              <c:idx val="2"/>
              <c:layout>
                <c:manualLayout>
                  <c:x val="-3.0696516934451412E-2"/>
                  <c:y val="-4.4168790833188677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r"/>
              <c:showLegendKey val="0"/>
              <c:showVal val="1"/>
              <c:showCatName val="0"/>
              <c:showSerName val="0"/>
              <c:showPercent val="0"/>
              <c:showBubbleSize val="0"/>
              <c:extLst>
                <c:ext xmlns:c15="http://schemas.microsoft.com/office/drawing/2012/chart" uri="{CE6537A1-D6FC-4f65-9D91-7224C49458BB}">
                  <c15:layout>
                    <c:manualLayout>
                      <c:w val="3.6642776432318107E-2"/>
                      <c:h val="5.3323801473557385E-2"/>
                    </c:manualLayout>
                  </c15:layout>
                </c:ext>
                <c:ext xmlns:c16="http://schemas.microsoft.com/office/drawing/2014/chart" uri="{C3380CC4-5D6E-409C-BE32-E72D297353CC}">
                  <c16:uniqueId val="{00000000-EDF8-4E60-B6C4-0079D4000D80}"/>
                </c:ext>
              </c:extLst>
            </c:dLbl>
            <c:dLbl>
              <c:idx val="3"/>
              <c:layout>
                <c:manualLayout>
                  <c:x val="-2.8530728221222795E-2"/>
                  <c:y val="-5.257677620666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D1-483A-B330-DC22F5FF305E}"/>
                </c:ext>
              </c:extLst>
            </c:dLbl>
            <c:dLbl>
              <c:idx val="4"/>
              <c:layout>
                <c:manualLayout>
                  <c:x val="-3.3225311361832877E-2"/>
                  <c:y val="-4.33864688858444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BF-4256-B073-1A2F98427747}"/>
                </c:ext>
              </c:extLst>
            </c:dLbl>
            <c:dLbl>
              <c:idx val="5"/>
              <c:layout>
                <c:manualLayout>
                  <c:x val="-3.0393620761690214E-2"/>
                  <c:y val="-5.00788775444889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31-4FE1-9BCA-722B8CF45B67}"/>
                </c:ext>
              </c:extLst>
            </c:dLbl>
            <c:dLbl>
              <c:idx val="6"/>
              <c:layout>
                <c:manualLayout>
                  <c:x val="-5.6810506096627636E-4"/>
                  <c:y val="-3.2449239290684843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31-4FE1-9BCA-722B8CF45B6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Grafiki!$B$249:$M$249</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Grafiki!$B$250:$M$250</c:f>
              <c:numCache>
                <c:formatCode>#\ ##0.0</c:formatCode>
                <c:ptCount val="12"/>
                <c:pt idx="0">
                  <c:v>3.9898414348898541</c:v>
                </c:pt>
                <c:pt idx="1">
                  <c:v>-1.5270634287698499</c:v>
                </c:pt>
                <c:pt idx="2">
                  <c:v>-0.90037117716883586</c:v>
                </c:pt>
                <c:pt idx="3">
                  <c:v>-3.2221433923117218</c:v>
                </c:pt>
                <c:pt idx="4">
                  <c:v>-3.0410897970807156</c:v>
                </c:pt>
                <c:pt idx="5">
                  <c:v>-2.2010875202749531</c:v>
                </c:pt>
                <c:pt idx="6">
                  <c:v>-0.79963941150163009</c:v>
                </c:pt>
              </c:numCache>
            </c:numRef>
          </c:val>
          <c:smooth val="1"/>
          <c:extLst>
            <c:ext xmlns:c16="http://schemas.microsoft.com/office/drawing/2014/chart" uri="{C3380CC4-5D6E-409C-BE32-E72D297353CC}">
              <c16:uniqueId val="{00000011-13F5-4EAA-B262-CB7F730B7977}"/>
            </c:ext>
          </c:extLst>
        </c:ser>
        <c:ser>
          <c:idx val="0"/>
          <c:order val="1"/>
          <c:tx>
            <c:strRef>
              <c:f>Grafiki!$A$248</c:f>
              <c:strCache>
                <c:ptCount val="1"/>
                <c:pt idx="0">
                  <c:v>100%</c:v>
                </c:pt>
              </c:strCache>
            </c:strRef>
          </c:tx>
          <c:spPr>
            <a:ln w="25400" cap="rnd">
              <a:solidFill>
                <a:schemeClr val="bg2">
                  <a:lumMod val="10000"/>
                </a:schemeClr>
              </a:solidFill>
              <a:prstDash val="sysDot"/>
              <a:round/>
            </a:ln>
            <a:effectLst/>
          </c:spPr>
          <c:marker>
            <c:symbol val="none"/>
          </c:marker>
          <c:cat>
            <c:strRef>
              <c:f>Grafiki!$B$249:$M$249</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Grafiki!$B$248:$M$248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D19-4D40-8F44-727DE2DF1FE5}"/>
            </c:ext>
          </c:extLst>
        </c:ser>
        <c:dLbls>
          <c:showLegendKey val="0"/>
          <c:showVal val="0"/>
          <c:showCatName val="0"/>
          <c:showSerName val="0"/>
          <c:showPercent val="0"/>
          <c:showBubbleSize val="0"/>
        </c:dLbls>
        <c:marker val="1"/>
        <c:smooth val="0"/>
        <c:axId val="464241279"/>
        <c:axId val="464241759"/>
      </c:lineChart>
      <c:catAx>
        <c:axId val="46424127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64241759"/>
        <c:crosses val="autoZero"/>
        <c:auto val="1"/>
        <c:lblAlgn val="ctr"/>
        <c:lblOffset val="100"/>
        <c:noMultiLvlLbl val="0"/>
      </c:catAx>
      <c:valAx>
        <c:axId val="464241759"/>
        <c:scaling>
          <c:orientation val="minMax"/>
        </c:scaling>
        <c:delete val="0"/>
        <c:axPos val="l"/>
        <c:majorGridlines>
          <c:spPr>
            <a:ln w="6350"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642412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solidFill>
      <a:round/>
    </a:ln>
    <a:effectLst/>
  </c:spPr>
  <c:txPr>
    <a:bodyPr/>
    <a:lstStyle/>
    <a:p>
      <a:pPr>
        <a:defRPr>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r>
              <a:rPr lang="lv-LV" b="1"/>
              <a:t>Konsolidētā kopbudžeta kumulatīvie</a:t>
            </a:r>
            <a:r>
              <a:rPr lang="lv-LV" b="1" baseline="0"/>
              <a:t> izdevumi salīdzinājumā ar budžeta likumā noteikto plānu </a:t>
            </a:r>
            <a:endParaRPr lang="lv-LV" b="1"/>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col"/>
        <c:grouping val="stacked"/>
        <c:varyColors val="0"/>
        <c:ser>
          <c:idx val="0"/>
          <c:order val="0"/>
          <c:tx>
            <c:v>Faktiskie izdevumi</c:v>
          </c:tx>
          <c:spPr>
            <a:solidFill>
              <a:srgbClr val="012169"/>
            </a:solidFill>
            <a:ln>
              <a:noFill/>
            </a:ln>
            <a:effectLst/>
          </c:spPr>
          <c:invertIfNegative val="0"/>
          <c:dLbls>
            <c:dLbl>
              <c:idx val="0"/>
              <c:layout>
                <c:manualLayout>
                  <c:x val="0.30063341569690322"/>
                  <c:y val="-5.548456551685903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baseline="0"/>
                      <a:t>11,4 mljrd. (54,5%)</a:t>
                    </a:r>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0.17764831589362137"/>
                      <c:h val="0.14135209760248174"/>
                    </c:manualLayout>
                  </c15:layout>
                  <c15:showDataLabelsRange val="0"/>
                </c:ext>
                <c:ext xmlns:c16="http://schemas.microsoft.com/office/drawing/2014/chart" uri="{C3380CC4-5D6E-409C-BE32-E72D297353CC}">
                  <c16:uniqueId val="{00000003-C694-460D-80FB-2890047CBA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Grafiki!$E$261</c:f>
              <c:numCache>
                <c:formatCode>#\ ##0.0</c:formatCode>
                <c:ptCount val="1"/>
                <c:pt idx="0">
                  <c:v>11.37104626</c:v>
                </c:pt>
              </c:numCache>
            </c:numRef>
          </c:val>
          <c:extLst>
            <c:ext xmlns:c16="http://schemas.microsoft.com/office/drawing/2014/chart" uri="{C3380CC4-5D6E-409C-BE32-E72D297353CC}">
              <c16:uniqueId val="{00000000-C694-460D-80FB-2890047CBA8C}"/>
            </c:ext>
          </c:extLst>
        </c:ser>
        <c:ser>
          <c:idx val="1"/>
          <c:order val="1"/>
          <c:tx>
            <c:v>Gada plāns</c:v>
          </c:tx>
          <c:spPr>
            <a:solidFill>
              <a:srgbClr val="A6A6A6"/>
            </a:solidFill>
            <a:ln>
              <a:noFill/>
            </a:ln>
            <a:effectLst/>
          </c:spPr>
          <c:invertIfNegative val="0"/>
          <c:dLbls>
            <c:dLbl>
              <c:idx val="0"/>
              <c:layout>
                <c:manualLayout>
                  <c:x val="0"/>
                  <c:y val="-0.22269419397082976"/>
                </c:manualLayout>
              </c:layout>
              <c:tx>
                <c:rich>
                  <a:bodyPr/>
                  <a:lstStyle/>
                  <a:p>
                    <a:r>
                      <a:rPr lang="en-US"/>
                      <a:t>20,9</a:t>
                    </a:r>
                    <a:r>
                      <a:rPr lang="en-US" baseline="0"/>
                      <a:t> mljrd. </a:t>
                    </a:r>
                    <a:endParaRPr lang="en-US"/>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94-460D-80FB-2890047CBA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Grafiki!$F$261</c:f>
              <c:numCache>
                <c:formatCode>#\ ##0.0</c:formatCode>
                <c:ptCount val="1"/>
                <c:pt idx="0">
                  <c:v>9.4830225373078427</c:v>
                </c:pt>
              </c:numCache>
            </c:numRef>
          </c:val>
          <c:extLst>
            <c:ext xmlns:c16="http://schemas.microsoft.com/office/drawing/2014/chart" uri="{C3380CC4-5D6E-409C-BE32-E72D297353CC}">
              <c16:uniqueId val="{00000001-C694-460D-80FB-2890047CBA8C}"/>
            </c:ext>
          </c:extLst>
        </c:ser>
        <c:dLbls>
          <c:showLegendKey val="0"/>
          <c:showVal val="0"/>
          <c:showCatName val="0"/>
          <c:showSerName val="0"/>
          <c:showPercent val="0"/>
          <c:showBubbleSize val="0"/>
        </c:dLbls>
        <c:gapWidth val="150"/>
        <c:overlap val="100"/>
        <c:axId val="444805247"/>
        <c:axId val="444819647"/>
      </c:barChart>
      <c:catAx>
        <c:axId val="444805247"/>
        <c:scaling>
          <c:orientation val="minMax"/>
        </c:scaling>
        <c:delete val="1"/>
        <c:axPos val="b"/>
        <c:numFmt formatCode="General" sourceLinked="1"/>
        <c:majorTickMark val="none"/>
        <c:minorTickMark val="none"/>
        <c:tickLblPos val="nextTo"/>
        <c:crossAx val="444819647"/>
        <c:crosses val="autoZero"/>
        <c:auto val="1"/>
        <c:lblAlgn val="ctr"/>
        <c:lblOffset val="100"/>
        <c:noMultiLvlLbl val="0"/>
      </c:catAx>
      <c:valAx>
        <c:axId val="444819647"/>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44805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r>
              <a:rPr lang="lv-LV" b="1"/>
              <a:t>Konsolidētā kopbudžeta kumulatīvie</a:t>
            </a:r>
            <a:r>
              <a:rPr lang="lv-LV" b="1" baseline="0"/>
              <a:t> ieņēmumi salīdzinājumā ar budžeta likumā noteikto plānu </a:t>
            </a:r>
            <a:endParaRPr lang="lv-LV" b="1"/>
          </a:p>
        </c:rich>
      </c:tx>
      <c:overlay val="0"/>
      <c:spPr>
        <a:noFill/>
        <a:ln>
          <a:noFill/>
        </a:ln>
        <a:effectLst/>
      </c:spPr>
      <c:txPr>
        <a:bodyPr rot="0" spcFirstLastPara="1" vertOverflow="ellipsis" vert="horz" wrap="square" anchor="ctr" anchorCtr="1"/>
        <a:lstStyle/>
        <a:p>
          <a:pPr>
            <a:defRPr sz="1080" b="1" i="0" u="none" strike="noStrike" kern="1200" spc="0" baseline="0">
              <a:solidFill>
                <a:schemeClr val="tx1"/>
              </a:solidFill>
              <a:latin typeface="Verdana" panose="020B0604030504040204" pitchFamily="34" charset="0"/>
              <a:ea typeface="Verdana" panose="020B0604030504040204" pitchFamily="34" charset="0"/>
              <a:cs typeface="+mn-cs"/>
            </a:defRPr>
          </a:pPr>
          <a:endParaRPr lang="lv-LV"/>
        </a:p>
      </c:txPr>
    </c:title>
    <c:autoTitleDeleted val="0"/>
    <c:plotArea>
      <c:layout/>
      <c:barChart>
        <c:barDir val="col"/>
        <c:grouping val="stacked"/>
        <c:varyColors val="0"/>
        <c:ser>
          <c:idx val="0"/>
          <c:order val="0"/>
          <c:tx>
            <c:v>Faktiskie ieņēmumi</c:v>
          </c:tx>
          <c:spPr>
            <a:solidFill>
              <a:srgbClr val="012169"/>
            </a:solidFill>
            <a:ln>
              <a:noFill/>
            </a:ln>
            <a:effectLst/>
          </c:spPr>
          <c:invertIfNegative val="0"/>
          <c:dLbls>
            <c:dLbl>
              <c:idx val="0"/>
              <c:layout>
                <c:manualLayout>
                  <c:x val="0.30303036730143784"/>
                  <c:y val="-5.9311248317229767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baseline="0"/>
                      <a:t>11,4 mljrd. (59,9%)</a:t>
                    </a:r>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0.1747609798268204"/>
                      <c:h val="0.12604596900448697"/>
                    </c:manualLayout>
                  </c15:layout>
                  <c15:showDataLabelsRange val="0"/>
                </c:ext>
                <c:ext xmlns:c16="http://schemas.microsoft.com/office/drawing/2014/chart" uri="{C3380CC4-5D6E-409C-BE32-E72D297353CC}">
                  <c16:uniqueId val="{00000000-53A8-46CD-A5B0-998237F9A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Grafiki!$E$262</c:f>
              <c:numCache>
                <c:formatCode>#\ ##0.0</c:formatCode>
                <c:ptCount val="1"/>
                <c:pt idx="0">
                  <c:v>11.422109916000002</c:v>
                </c:pt>
              </c:numCache>
            </c:numRef>
          </c:val>
          <c:extLst>
            <c:ext xmlns:c16="http://schemas.microsoft.com/office/drawing/2014/chart" uri="{C3380CC4-5D6E-409C-BE32-E72D297353CC}">
              <c16:uniqueId val="{00000001-53A8-46CD-A5B0-998237F9A68C}"/>
            </c:ext>
          </c:extLst>
        </c:ser>
        <c:ser>
          <c:idx val="1"/>
          <c:order val="1"/>
          <c:tx>
            <c:v>Gada plāns</c:v>
          </c:tx>
          <c:spPr>
            <a:solidFill>
              <a:srgbClr val="A6A6A6"/>
            </a:solidFill>
            <a:ln>
              <a:noFill/>
            </a:ln>
            <a:effectLst/>
          </c:spPr>
          <c:invertIfNegative val="0"/>
          <c:dLbls>
            <c:dLbl>
              <c:idx val="0"/>
              <c:layout>
                <c:manualLayout>
                  <c:x val="1.0775307783397666E-2"/>
                  <c:y val="-0.222365606044584"/>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n-US"/>
                      <a:t>19,1 mljrd.</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0.20633001009146798"/>
                      <c:h val="9.5433711808497426E-2"/>
                    </c:manualLayout>
                  </c15:layout>
                  <c15:showDataLabelsRange val="0"/>
                </c:ext>
                <c:ext xmlns:c16="http://schemas.microsoft.com/office/drawing/2014/chart" uri="{C3380CC4-5D6E-409C-BE32-E72D297353CC}">
                  <c16:uniqueId val="{00000002-53A8-46CD-A5B0-998237F9A6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Grafiki!$F$262</c:f>
              <c:numCache>
                <c:formatCode>#\ ##0.0</c:formatCode>
                <c:ptCount val="1"/>
                <c:pt idx="0">
                  <c:v>7.6454714279735985</c:v>
                </c:pt>
              </c:numCache>
            </c:numRef>
          </c:val>
          <c:extLst>
            <c:ext xmlns:c16="http://schemas.microsoft.com/office/drawing/2014/chart" uri="{C3380CC4-5D6E-409C-BE32-E72D297353CC}">
              <c16:uniqueId val="{00000003-53A8-46CD-A5B0-998237F9A68C}"/>
            </c:ext>
          </c:extLst>
        </c:ser>
        <c:dLbls>
          <c:showLegendKey val="0"/>
          <c:showVal val="0"/>
          <c:showCatName val="0"/>
          <c:showSerName val="0"/>
          <c:showPercent val="0"/>
          <c:showBubbleSize val="0"/>
        </c:dLbls>
        <c:gapWidth val="150"/>
        <c:overlap val="100"/>
        <c:axId val="444805247"/>
        <c:axId val="444819647"/>
      </c:barChart>
      <c:catAx>
        <c:axId val="444805247"/>
        <c:scaling>
          <c:orientation val="minMax"/>
        </c:scaling>
        <c:delete val="1"/>
        <c:axPos val="b"/>
        <c:numFmt formatCode="General" sourceLinked="1"/>
        <c:majorTickMark val="none"/>
        <c:minorTickMark val="none"/>
        <c:tickLblPos val="nextTo"/>
        <c:crossAx val="444819647"/>
        <c:crosses val="autoZero"/>
        <c:auto val="1"/>
        <c:lblAlgn val="ctr"/>
        <c:lblOffset val="100"/>
        <c:noMultiLvlLbl val="0"/>
      </c:catAx>
      <c:valAx>
        <c:axId val="444819647"/>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crossAx val="444805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lv-LV"/>
        </a:p>
      </c:txPr>
    </c:legend>
    <c:plotVisOnly val="0"/>
    <c:dispBlanksAs val="gap"/>
    <c:showDLblsOverMax val="0"/>
  </c:chart>
  <c:spPr>
    <a:noFill/>
    <a:ln w="9525" cap="flat" cmpd="sng" algn="ctr">
      <a:solidFill>
        <a:schemeClr val="bg1"/>
      </a:solidFill>
      <a:round/>
    </a:ln>
    <a:effectLst/>
  </c:spPr>
  <c:txPr>
    <a:bodyPr/>
    <a:lstStyle/>
    <a:p>
      <a:pPr>
        <a:defRPr sz="900">
          <a:solidFill>
            <a:schemeClr val="tx1"/>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speciālā budžeta bilance, % no IKP</a:t>
            </a:r>
          </a:p>
        </c:rich>
      </c:tx>
      <c:layout>
        <c:manualLayout>
          <c:xMode val="edge"/>
          <c:yMode val="edge"/>
          <c:x val="8.9848459647413476E-2"/>
          <c:y val="4.044133920061802E-3"/>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7.4955952376024204E-2"/>
          <c:w val="0.88254396325459317"/>
          <c:h val="0.75432586994256379"/>
        </c:manualLayout>
      </c:layout>
      <c:barChart>
        <c:barDir val="col"/>
        <c:grouping val="clustered"/>
        <c:varyColors val="0"/>
        <c:ser>
          <c:idx val="0"/>
          <c:order val="0"/>
          <c:tx>
            <c:strRef>
              <c:f>'2'!$B$221</c:f>
              <c:strCache>
                <c:ptCount val="1"/>
                <c:pt idx="0">
                  <c:v>2025</c:v>
                </c:pt>
              </c:strCache>
            </c:strRef>
          </c:tx>
          <c:spPr>
            <a:solidFill>
              <a:schemeClr val="accent1"/>
            </a:solidFill>
            <a:ln>
              <a:noFill/>
            </a:ln>
            <a:effectLst/>
          </c:spPr>
          <c:invertIfNegative val="0"/>
          <c:cat>
            <c:multiLvlStrRef>
              <c:f>'2'!$A$222:$A$233</c:f>
            </c:multiLvlStrRef>
          </c:cat>
          <c:val>
            <c:numRef>
              <c:f>'2'!$B$222:$B$233</c:f>
            </c:numRef>
          </c:val>
          <c:extLst>
            <c:ext xmlns:c16="http://schemas.microsoft.com/office/drawing/2014/chart" uri="{C3380CC4-5D6E-409C-BE32-E72D297353CC}">
              <c16:uniqueId val="{00000002-A855-4097-9342-2494317E4ECD}"/>
            </c:ext>
          </c:extLst>
        </c:ser>
        <c:ser>
          <c:idx val="1"/>
          <c:order val="1"/>
          <c:tx>
            <c:strRef>
              <c:f>'2'!$C$221</c:f>
              <c:strCache>
                <c:ptCount val="1"/>
                <c:pt idx="0">
                  <c:v>2026</c:v>
                </c:pt>
              </c:strCache>
            </c:strRef>
          </c:tx>
          <c:spPr>
            <a:solidFill>
              <a:schemeClr val="accent2"/>
            </a:solidFill>
            <a:ln>
              <a:noFill/>
            </a:ln>
            <a:effectLst/>
          </c:spPr>
          <c:invertIfNegative val="0"/>
          <c:cat>
            <c:multiLvlStrRef>
              <c:f>'2'!$A$222:$A$233</c:f>
            </c:multiLvlStrRef>
          </c:cat>
          <c:val>
            <c:numRef>
              <c:f>'2'!$C$222:$C$233</c:f>
            </c:numRef>
          </c:val>
          <c:extLst>
            <c:ext xmlns:c16="http://schemas.microsoft.com/office/drawing/2014/chart" uri="{C3380CC4-5D6E-409C-BE32-E72D297353CC}">
              <c16:uniqueId val="{00000003-A855-4097-9342-2494317E4ECD}"/>
            </c:ext>
          </c:extLst>
        </c:ser>
        <c:dLbls>
          <c:showLegendKey val="0"/>
          <c:showVal val="0"/>
          <c:showCatName val="0"/>
          <c:showSerName val="0"/>
          <c:showPercent val="0"/>
          <c:showBubbleSize val="0"/>
        </c:dLbls>
        <c:gapWidth val="150"/>
        <c:axId val="433091520"/>
        <c:axId val="433088776"/>
      </c:barChart>
      <c:catAx>
        <c:axId val="433091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88776"/>
        <c:crosses val="autoZero"/>
        <c:auto val="1"/>
        <c:lblAlgn val="ctr"/>
        <c:lblOffset val="100"/>
        <c:noMultiLvlLbl val="0"/>
      </c:catAx>
      <c:valAx>
        <c:axId val="433088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433091520"/>
        <c:crosses val="autoZero"/>
        <c:crossBetween val="between"/>
      </c:valAx>
      <c:spPr>
        <a:noFill/>
        <a:ln>
          <a:noFill/>
        </a:ln>
        <a:effectLst/>
      </c:spPr>
    </c:plotArea>
    <c:legend>
      <c:legendPos val="b"/>
      <c:layout>
        <c:manualLayout>
          <c:xMode val="edge"/>
          <c:yMode val="edge"/>
          <c:x val="0.35284711286089238"/>
          <c:y val="0.92187445319335082"/>
          <c:w val="0.16209923363178666"/>
          <c:h val="7.764774934059882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8323906600291269E-2"/>
          <c:y val="1.2127601466007384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103688764366114E-2"/>
          <c:w val="0.88254396325459317"/>
          <c:h val="0.74824468088492646"/>
        </c:manualLayout>
      </c:layout>
      <c:barChart>
        <c:barDir val="col"/>
        <c:grouping val="clustered"/>
        <c:varyColors val="0"/>
        <c:ser>
          <c:idx val="0"/>
          <c:order val="0"/>
          <c:tx>
            <c:strRef>
              <c:f>'2'!$B$335</c:f>
              <c:strCache>
                <c:ptCount val="1"/>
                <c:pt idx="0">
                  <c:v>2025</c:v>
                </c:pt>
              </c:strCache>
            </c:strRef>
          </c:tx>
          <c:spPr>
            <a:solidFill>
              <a:schemeClr val="accent1"/>
            </a:solidFill>
            <a:ln>
              <a:noFill/>
            </a:ln>
            <a:effectLst/>
          </c:spPr>
          <c:invertIfNegative val="0"/>
          <c:cat>
            <c:strRef>
              <c:f>'2'!$A$336:$A$347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'2'!$B$336:$B$347</c:f>
              <c:numCache>
                <c:formatCode>#,##0</c:formatCode>
                <c:ptCount val="12"/>
                <c:pt idx="0">
                  <c:v>69077.213999999978</c:v>
                </c:pt>
                <c:pt idx="1">
                  <c:v>104693.23099999991</c:v>
                </c:pt>
                <c:pt idx="2">
                  <c:v>134249.902</c:v>
                </c:pt>
                <c:pt idx="3">
                  <c:v>118577.598</c:v>
                </c:pt>
                <c:pt idx="4">
                  <c:v>120767.31200000015</c:v>
                </c:pt>
                <c:pt idx="5">
                  <c:v>131428.27000000002</c:v>
                </c:pt>
                <c:pt idx="6">
                  <c:v>61633.138999999966</c:v>
                </c:pt>
                <c:pt idx="7">
                  <c:v>66090.015999999829</c:v>
                </c:pt>
                <c:pt idx="8">
                  <c:v>103447.31399999978</c:v>
                </c:pt>
                <c:pt idx="9">
                  <c:v>85270.404999999795</c:v>
                </c:pt>
                <c:pt idx="10">
                  <c:v>84315.290999999736</c:v>
                </c:pt>
                <c:pt idx="11">
                  <c:v>-47210.757999999914</c:v>
                </c:pt>
              </c:numCache>
            </c:numRef>
          </c:val>
          <c:extLst>
            <c:ext xmlns:c16="http://schemas.microsoft.com/office/drawing/2014/chart" uri="{C3380CC4-5D6E-409C-BE32-E72D297353CC}">
              <c16:uniqueId val="{00000000-549D-4D7F-AE86-BEF5B9C0912B}"/>
            </c:ext>
          </c:extLst>
        </c:ser>
        <c:ser>
          <c:idx val="1"/>
          <c:order val="1"/>
          <c:tx>
            <c:strRef>
              <c:f>'2'!$C$335</c:f>
              <c:strCache>
                <c:ptCount val="1"/>
                <c:pt idx="0">
                  <c:v>2026</c:v>
                </c:pt>
              </c:strCache>
            </c:strRef>
          </c:tx>
          <c:spPr>
            <a:solidFill>
              <a:schemeClr val="accent3"/>
            </a:solidFill>
            <a:ln>
              <a:noFill/>
            </a:ln>
            <a:effectLst/>
          </c:spPr>
          <c:invertIfNegative val="0"/>
          <c:cat>
            <c:strRef>
              <c:f>'2'!$A$336:$A$347</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'2'!$C$336:$C$347</c:f>
              <c:numCache>
                <c:formatCode>#,##0</c:formatCode>
                <c:ptCount val="12"/>
                <c:pt idx="0">
                  <c:v>51011.107999999949</c:v>
                </c:pt>
                <c:pt idx="1">
                  <c:v>97658</c:v>
                </c:pt>
                <c:pt idx="2">
                  <c:v>113691.67500000005</c:v>
                </c:pt>
                <c:pt idx="3">
                  <c:v>111338.02799999993</c:v>
                </c:pt>
                <c:pt idx="4">
                  <c:v>121926.85299999989</c:v>
                </c:pt>
                <c:pt idx="5">
                  <c:v>111167.53399999975</c:v>
                </c:pt>
                <c:pt idx="6">
                  <c:v>42998.083000000101</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Pašvaldību budžeta bilance, % no IKP</a:t>
            </a:r>
          </a:p>
        </c:rich>
      </c:tx>
      <c:layout>
        <c:manualLayout>
          <c:xMode val="edge"/>
          <c:yMode val="edge"/>
          <c:x val="8.672440623410943E-2"/>
          <c:y val="3.0359578700961159E-2"/>
        </c:manualLayout>
      </c:layout>
      <c:overlay val="0"/>
      <c:spPr>
        <a:noFill/>
        <a:ln>
          <a:noFill/>
        </a:ln>
        <a:effectLst/>
      </c:spPr>
      <c:txPr>
        <a:bodyPr rot="0" spcFirstLastPara="1" vertOverflow="ellipsis" vert="horz" wrap="square" anchor="ctr" anchorCtr="1"/>
        <a:lstStyle/>
        <a:p>
          <a:pPr algn="ctr" rtl="0">
            <a:def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9.0857219922608493E-2"/>
          <c:w val="0.88254396325459317"/>
          <c:h val="0.7384241594306642"/>
        </c:manualLayout>
      </c:layout>
      <c:barChart>
        <c:barDir val="col"/>
        <c:grouping val="clustered"/>
        <c:varyColors val="0"/>
        <c:ser>
          <c:idx val="0"/>
          <c:order val="0"/>
          <c:tx>
            <c:strRef>
              <c:f>'2'!$B$376</c:f>
              <c:strCache>
                <c:ptCount val="1"/>
                <c:pt idx="0">
                  <c:v>2025</c:v>
                </c:pt>
              </c:strCache>
            </c:strRef>
          </c:tx>
          <c:spPr>
            <a:solidFill>
              <a:schemeClr val="accent1"/>
            </a:solidFill>
            <a:ln>
              <a:noFill/>
            </a:ln>
            <a:effectLst/>
          </c:spPr>
          <c:invertIfNegative val="0"/>
          <c:cat>
            <c:strRef>
              <c:f>'2'!$A$377:$A$388</c:f>
            </c:strRef>
          </c:cat>
          <c:val>
            <c:numRef>
              <c:f>'2'!$B$377:$B$388</c:f>
            </c:numRef>
          </c:val>
          <c:extLst>
            <c:ext xmlns:c16="http://schemas.microsoft.com/office/drawing/2014/chart" uri="{C3380CC4-5D6E-409C-BE32-E72D297353CC}">
              <c16:uniqueId val="{00000000-549D-4D7F-AE86-BEF5B9C0912B}"/>
            </c:ext>
          </c:extLst>
        </c:ser>
        <c:ser>
          <c:idx val="1"/>
          <c:order val="1"/>
          <c:tx>
            <c:strRef>
              <c:f>'2'!$C$376</c:f>
              <c:strCache>
                <c:ptCount val="1"/>
                <c:pt idx="0">
                  <c:v>2026</c:v>
                </c:pt>
              </c:strCache>
            </c:strRef>
          </c:tx>
          <c:spPr>
            <a:solidFill>
              <a:schemeClr val="accent3"/>
            </a:solidFill>
            <a:ln>
              <a:noFill/>
            </a:ln>
            <a:effectLst/>
          </c:spPr>
          <c:invertIfNegative val="0"/>
          <c:cat>
            <c:strRef>
              <c:f>'2'!$A$377:$A$388</c:f>
            </c:strRef>
          </c:cat>
          <c:val>
            <c:numRef>
              <c:f>'2'!$C$377:$C$388</c:f>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Valsts pamatbudžeta un speciālā budžeta kopējā bilance, </a:t>
            </a:r>
            <a:r>
              <a:rPr lang="lv-LV"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milj</a:t>
            </a:r>
            <a:r>
              <a: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rPr>
              <a:t>. eiro</a:t>
            </a:r>
          </a:p>
        </c:rich>
      </c:tx>
      <c:layout>
        <c:manualLayout>
          <c:xMode val="edge"/>
          <c:yMode val="edge"/>
          <c:x val="8.3471200292993597E-2"/>
          <c:y val="2.426480352037081E-2"/>
        </c:manualLayout>
      </c:layout>
      <c:overlay val="0"/>
      <c:spPr>
        <a:noFill/>
        <a:ln>
          <a:noFill/>
        </a:ln>
        <a:effectLst/>
      </c:spPr>
      <c:txPr>
        <a:bodyPr rot="0" spcFirstLastPara="1" vertOverflow="ellipsis" vert="horz" wrap="square" anchor="ctr" anchorCtr="1"/>
        <a:lstStyle/>
        <a:p>
          <a:pPr algn="ctr" rtl="0">
            <a:defRPr lang="en-US" sz="1050" b="0" i="0" u="none" strike="noStrike" kern="1200" spc="0" baseline="0">
              <a:solidFill>
                <a:srgbClr val="000000">
                  <a:lumMod val="65000"/>
                  <a:lumOff val="35000"/>
                </a:srgbClr>
              </a:solidFill>
              <a:latin typeface="Verdana" panose="020B0604030504040204" pitchFamily="34" charset="0"/>
              <a:ea typeface="Verdana" panose="020B0604030504040204" pitchFamily="34" charset="0"/>
              <a:cs typeface="+mn-cs"/>
            </a:defRPr>
          </a:pPr>
          <a:endParaRPr lang="lv-LV"/>
        </a:p>
      </c:txPr>
    </c:title>
    <c:autoTitleDeleted val="0"/>
    <c:plotArea>
      <c:layout>
        <c:manualLayout>
          <c:layoutTarget val="inner"/>
          <c:xMode val="edge"/>
          <c:yMode val="edge"/>
          <c:x val="8.6900481189851275E-2"/>
          <c:y val="8.9137806570029926E-2"/>
          <c:w val="0.88254396325459317"/>
          <c:h val="0.74014369731281626"/>
        </c:manualLayout>
      </c:layout>
      <c:barChart>
        <c:barDir val="col"/>
        <c:grouping val="clustered"/>
        <c:varyColors val="0"/>
        <c:ser>
          <c:idx val="0"/>
          <c:order val="0"/>
          <c:tx>
            <c:strRef>
              <c:f>'2'!$B$260</c:f>
              <c:strCache>
                <c:ptCount val="1"/>
                <c:pt idx="0">
                  <c:v>2025</c:v>
                </c:pt>
              </c:strCache>
            </c:strRef>
          </c:tx>
          <c:spPr>
            <a:solidFill>
              <a:schemeClr val="accent1"/>
            </a:solidFill>
            <a:ln>
              <a:noFill/>
            </a:ln>
            <a:effectLst/>
          </c:spPr>
          <c:invertIfNegative val="0"/>
          <c:cat>
            <c:strRef>
              <c:f>'2'!$A$261:$A$272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'2'!$B$261:$B$272</c:f>
              <c:numCache>
                <c:formatCode>#,##0</c:formatCode>
                <c:ptCount val="12"/>
                <c:pt idx="0">
                  <c:v>-43242.869930000161</c:v>
                </c:pt>
                <c:pt idx="1">
                  <c:v>-191834.16246999998</c:v>
                </c:pt>
                <c:pt idx="2">
                  <c:v>-668725.92059999937</c:v>
                </c:pt>
                <c:pt idx="3">
                  <c:v>-919998.77300999966</c:v>
                </c:pt>
                <c:pt idx="4">
                  <c:v>-586660.36865999969</c:v>
                </c:pt>
                <c:pt idx="5">
                  <c:v>-469280.70567000052</c:v>
                </c:pt>
                <c:pt idx="6">
                  <c:v>-587923.31265999982</c:v>
                </c:pt>
                <c:pt idx="7">
                  <c:v>-433330.75214000139</c:v>
                </c:pt>
                <c:pt idx="8">
                  <c:v>-715480.00755000068</c:v>
                </c:pt>
                <c:pt idx="9">
                  <c:v>-1019197.1724400013</c:v>
                </c:pt>
                <c:pt idx="10">
                  <c:v>-1214778.0737700015</c:v>
                </c:pt>
                <c:pt idx="11">
                  <c:v>-1746940.1037900001</c:v>
                </c:pt>
              </c:numCache>
            </c:numRef>
          </c:val>
          <c:extLst>
            <c:ext xmlns:c16="http://schemas.microsoft.com/office/drawing/2014/chart" uri="{C3380CC4-5D6E-409C-BE32-E72D297353CC}">
              <c16:uniqueId val="{00000000-549D-4D7F-AE86-BEF5B9C0912B}"/>
            </c:ext>
          </c:extLst>
        </c:ser>
        <c:ser>
          <c:idx val="1"/>
          <c:order val="1"/>
          <c:tx>
            <c:strRef>
              <c:f>'2'!$C$260</c:f>
              <c:strCache>
                <c:ptCount val="1"/>
                <c:pt idx="0">
                  <c:v>2026</c:v>
                </c:pt>
              </c:strCache>
            </c:strRef>
          </c:tx>
          <c:spPr>
            <a:solidFill>
              <a:schemeClr val="accent3"/>
            </a:solidFill>
            <a:ln>
              <a:noFill/>
            </a:ln>
            <a:effectLst/>
          </c:spPr>
          <c:invertIfNegative val="0"/>
          <c:cat>
            <c:strRef>
              <c:f>'2'!$A$261:$A$272</c:f>
              <c:strCache>
                <c:ptCount val="12"/>
                <c:pt idx="0">
                  <c:v>Janvāris</c:v>
                </c:pt>
                <c:pt idx="1">
                  <c:v>Februāris</c:v>
                </c:pt>
                <c:pt idx="2">
                  <c:v>Marts</c:v>
                </c:pt>
                <c:pt idx="3">
                  <c:v>Aprīlis</c:v>
                </c:pt>
                <c:pt idx="4">
                  <c:v>Maijs</c:v>
                </c:pt>
                <c:pt idx="5">
                  <c:v>Jūnijs</c:v>
                </c:pt>
                <c:pt idx="6">
                  <c:v>Jūlijs</c:v>
                </c:pt>
                <c:pt idx="7">
                  <c:v>Augusts</c:v>
                </c:pt>
                <c:pt idx="8">
                  <c:v>Septembris</c:v>
                </c:pt>
                <c:pt idx="9">
                  <c:v>Oktobris</c:v>
                </c:pt>
                <c:pt idx="10">
                  <c:v>Novembris</c:v>
                </c:pt>
                <c:pt idx="11">
                  <c:v>Decembris</c:v>
                </c:pt>
              </c:strCache>
            </c:strRef>
          </c:cat>
          <c:val>
            <c:numRef>
              <c:f>'2'!$C$261:$C$272</c:f>
              <c:numCache>
                <c:formatCode>#,##0</c:formatCode>
                <c:ptCount val="12"/>
                <c:pt idx="0">
                  <c:v>-104113.25237999996</c:v>
                </c:pt>
                <c:pt idx="1">
                  <c:v>304681.63382999995</c:v>
                </c:pt>
                <c:pt idx="2">
                  <c:v>-125763.15942000016</c:v>
                </c:pt>
                <c:pt idx="3">
                  <c:v>-283911.1795200007</c:v>
                </c:pt>
                <c:pt idx="4">
                  <c:v>36645.832590000704</c:v>
                </c:pt>
                <c:pt idx="5">
                  <c:v>102826.04846000019</c:v>
                </c:pt>
                <c:pt idx="6">
                  <c:v>-52568.014669999946</c:v>
                </c:pt>
                <c:pt idx="7">
                  <c:v>0</c:v>
                </c:pt>
                <c:pt idx="8">
                  <c:v>0</c:v>
                </c:pt>
                <c:pt idx="9">
                  <c:v>0</c:v>
                </c:pt>
                <c:pt idx="10">
                  <c:v>0</c:v>
                </c:pt>
                <c:pt idx="11">
                  <c:v>0</c:v>
                </c:pt>
              </c:numCache>
            </c:numRef>
          </c:val>
          <c:extLst>
            <c:ext xmlns:c16="http://schemas.microsoft.com/office/drawing/2014/chart" uri="{C3380CC4-5D6E-409C-BE32-E72D297353CC}">
              <c16:uniqueId val="{00000001-549D-4D7F-AE86-BEF5B9C0912B}"/>
            </c:ext>
          </c:extLst>
        </c:ser>
        <c:dLbls>
          <c:showLegendKey val="0"/>
          <c:showVal val="0"/>
          <c:showCatName val="0"/>
          <c:showSerName val="0"/>
          <c:showPercent val="0"/>
          <c:showBubbleSize val="0"/>
        </c:dLbls>
        <c:gapWidth val="150"/>
        <c:axId val="660097944"/>
        <c:axId val="660098728"/>
      </c:barChart>
      <c:catAx>
        <c:axId val="660097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8728"/>
        <c:crosses val="autoZero"/>
        <c:auto val="1"/>
        <c:lblAlgn val="ctr"/>
        <c:lblOffset val="100"/>
        <c:noMultiLvlLbl val="0"/>
      </c:catAx>
      <c:valAx>
        <c:axId val="66009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crossAx val="660097944"/>
        <c:crosses val="autoZero"/>
        <c:crossBetween val="between"/>
        <c:dispUnits>
          <c:builtInUnit val="thousands"/>
        </c:dispUnits>
      </c:valAx>
      <c:spPr>
        <a:noFill/>
        <a:ln>
          <a:noFill/>
        </a:ln>
        <a:effectLst/>
      </c:spPr>
    </c:plotArea>
    <c:legend>
      <c:legendPos val="b"/>
      <c:layout>
        <c:manualLayout>
          <c:xMode val="edge"/>
          <c:yMode val="edge"/>
          <c:x val="0.35284711286089238"/>
          <c:y val="0.92187445319335082"/>
          <c:w val="0.25904724953984914"/>
          <c:h val="7.812565387368536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4"/>
              </a:solidFill>
              <a:latin typeface="Verdana" panose="020B0604030504040204" pitchFamily="34" charset="0"/>
              <a:ea typeface="Verdana" panose="020B0604030504040204" pitchFamily="34" charset="0"/>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18" Type="http://schemas.openxmlformats.org/officeDocument/2006/relationships/chart" Target="../charts/chart28.xml"/><Relationship Id="rId26" Type="http://schemas.openxmlformats.org/officeDocument/2006/relationships/chart" Target="../charts/chart36.xml"/><Relationship Id="rId3" Type="http://schemas.openxmlformats.org/officeDocument/2006/relationships/chart" Target="../charts/chart13.xml"/><Relationship Id="rId21" Type="http://schemas.openxmlformats.org/officeDocument/2006/relationships/chart" Target="../charts/chart31.xml"/><Relationship Id="rId7" Type="http://schemas.openxmlformats.org/officeDocument/2006/relationships/chart" Target="../charts/chart17.xml"/><Relationship Id="rId12" Type="http://schemas.openxmlformats.org/officeDocument/2006/relationships/chart" Target="../charts/chart22.xml"/><Relationship Id="rId17" Type="http://schemas.openxmlformats.org/officeDocument/2006/relationships/chart" Target="../charts/chart27.xml"/><Relationship Id="rId25" Type="http://schemas.openxmlformats.org/officeDocument/2006/relationships/chart" Target="../charts/chart35.xml"/><Relationship Id="rId2" Type="http://schemas.openxmlformats.org/officeDocument/2006/relationships/chart" Target="../charts/chart12.xml"/><Relationship Id="rId16" Type="http://schemas.openxmlformats.org/officeDocument/2006/relationships/chart" Target="../charts/chart26.xml"/><Relationship Id="rId20" Type="http://schemas.openxmlformats.org/officeDocument/2006/relationships/chart" Target="../charts/chart30.xml"/><Relationship Id="rId29" Type="http://schemas.openxmlformats.org/officeDocument/2006/relationships/chart" Target="../charts/chart39.xml"/><Relationship Id="rId1" Type="http://schemas.openxmlformats.org/officeDocument/2006/relationships/chart" Target="../charts/chart11.xml"/><Relationship Id="rId6" Type="http://schemas.openxmlformats.org/officeDocument/2006/relationships/chart" Target="../charts/chart16.xml"/><Relationship Id="rId11" Type="http://schemas.openxmlformats.org/officeDocument/2006/relationships/chart" Target="../charts/chart21.xml"/><Relationship Id="rId24" Type="http://schemas.openxmlformats.org/officeDocument/2006/relationships/chart" Target="../charts/chart34.xml"/><Relationship Id="rId5" Type="http://schemas.openxmlformats.org/officeDocument/2006/relationships/chart" Target="../charts/chart15.xml"/><Relationship Id="rId15" Type="http://schemas.openxmlformats.org/officeDocument/2006/relationships/chart" Target="../charts/chart25.xml"/><Relationship Id="rId23" Type="http://schemas.openxmlformats.org/officeDocument/2006/relationships/chart" Target="../charts/chart33.xml"/><Relationship Id="rId28" Type="http://schemas.openxmlformats.org/officeDocument/2006/relationships/chart" Target="../charts/chart38.xml"/><Relationship Id="rId10" Type="http://schemas.openxmlformats.org/officeDocument/2006/relationships/chart" Target="../charts/chart20.xml"/><Relationship Id="rId19" Type="http://schemas.openxmlformats.org/officeDocument/2006/relationships/chart" Target="../charts/chart29.xml"/><Relationship Id="rId31" Type="http://schemas.openxmlformats.org/officeDocument/2006/relationships/chart" Target="../charts/chart41.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 Id="rId22" Type="http://schemas.openxmlformats.org/officeDocument/2006/relationships/chart" Target="../charts/chart32.xml"/><Relationship Id="rId27" Type="http://schemas.openxmlformats.org/officeDocument/2006/relationships/chart" Target="../charts/chart37.xml"/><Relationship Id="rId30" Type="http://schemas.openxmlformats.org/officeDocument/2006/relationships/chart" Target="../charts/chart4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9.xml"/><Relationship Id="rId13" Type="http://schemas.openxmlformats.org/officeDocument/2006/relationships/chart" Target="../charts/chart54.xml"/><Relationship Id="rId3" Type="http://schemas.openxmlformats.org/officeDocument/2006/relationships/chart" Target="../charts/chart44.xml"/><Relationship Id="rId7" Type="http://schemas.openxmlformats.org/officeDocument/2006/relationships/chart" Target="../charts/chart48.xml"/><Relationship Id="rId12" Type="http://schemas.openxmlformats.org/officeDocument/2006/relationships/chart" Target="../charts/chart53.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11" Type="http://schemas.openxmlformats.org/officeDocument/2006/relationships/chart" Target="../charts/chart52.xml"/><Relationship Id="rId5" Type="http://schemas.openxmlformats.org/officeDocument/2006/relationships/chart" Target="../charts/chart46.xml"/><Relationship Id="rId10" Type="http://schemas.openxmlformats.org/officeDocument/2006/relationships/chart" Target="../charts/chart51.xml"/><Relationship Id="rId4" Type="http://schemas.openxmlformats.org/officeDocument/2006/relationships/chart" Target="../charts/chart45.xml"/><Relationship Id="rId9" Type="http://schemas.openxmlformats.org/officeDocument/2006/relationships/chart" Target="../charts/chart50.xml"/></Relationships>
</file>

<file path=xl/drawings/drawing1.xml><?xml version="1.0" encoding="utf-8"?>
<xdr:wsDr xmlns:xdr="http://schemas.openxmlformats.org/drawingml/2006/spreadsheetDrawing" xmlns:a="http://schemas.openxmlformats.org/drawingml/2006/main">
  <xdr:twoCellAnchor>
    <xdr:from>
      <xdr:col>0</xdr:col>
      <xdr:colOff>608357</xdr:colOff>
      <xdr:row>35</xdr:row>
      <xdr:rowOff>74127</xdr:rowOff>
    </xdr:from>
    <xdr:to>
      <xdr:col>5</xdr:col>
      <xdr:colOff>571085</xdr:colOff>
      <xdr:row>53</xdr:row>
      <xdr:rowOff>4140</xdr:rowOff>
    </xdr:to>
    <xdr:graphicFrame macro="">
      <xdr:nvGraphicFramePr>
        <xdr:cNvPr id="15" name="Chart 14">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402948</xdr:colOff>
      <xdr:row>74</xdr:row>
      <xdr:rowOff>157369</xdr:rowOff>
    </xdr:from>
    <xdr:to>
      <xdr:col>5</xdr:col>
      <xdr:colOff>303557</xdr:colOff>
      <xdr:row>92</xdr:row>
      <xdr:rowOff>115956</xdr:rowOff>
    </xdr:to>
    <xdr:graphicFrame macro="">
      <xdr:nvGraphicFramePr>
        <xdr:cNvPr id="16" name="Chart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258416</xdr:colOff>
      <xdr:row>114</xdr:row>
      <xdr:rowOff>8283</xdr:rowOff>
    </xdr:from>
    <xdr:to>
      <xdr:col>5</xdr:col>
      <xdr:colOff>167308</xdr:colOff>
      <xdr:row>132</xdr:row>
      <xdr:rowOff>57978</xdr:rowOff>
    </xdr:to>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271256</xdr:colOff>
      <xdr:row>153</xdr:row>
      <xdr:rowOff>104775</xdr:rowOff>
    </xdr:from>
    <xdr:to>
      <xdr:col>5</xdr:col>
      <xdr:colOff>180147</xdr:colOff>
      <xdr:row>172</xdr:row>
      <xdr:rowOff>829</xdr:rowOff>
    </xdr:to>
    <xdr:graphicFrame macro="">
      <xdr:nvGraphicFramePr>
        <xdr:cNvPr id="18" name="Chart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364434</xdr:colOff>
      <xdr:row>192</xdr:row>
      <xdr:rowOff>119268</xdr:rowOff>
    </xdr:from>
    <xdr:to>
      <xdr:col>5</xdr:col>
      <xdr:colOff>265043</xdr:colOff>
      <xdr:row>211</xdr:row>
      <xdr:rowOff>3312</xdr:rowOff>
    </xdr:to>
    <xdr:graphicFrame macro="">
      <xdr:nvGraphicFramePr>
        <xdr:cNvPr id="19" name="Chart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303144</xdr:colOff>
      <xdr:row>234</xdr:row>
      <xdr:rowOff>3727</xdr:rowOff>
    </xdr:from>
    <xdr:to>
      <xdr:col>5</xdr:col>
      <xdr:colOff>212035</xdr:colOff>
      <xdr:row>252</xdr:row>
      <xdr:rowOff>57978</xdr:rowOff>
    </xdr:to>
    <xdr:graphicFrame macro="">
      <xdr:nvGraphicFramePr>
        <xdr:cNvPr id="26" name="Chart 25">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438978</xdr:colOff>
      <xdr:row>348</xdr:row>
      <xdr:rowOff>157370</xdr:rowOff>
    </xdr:from>
    <xdr:to>
      <xdr:col>5</xdr:col>
      <xdr:colOff>339587</xdr:colOff>
      <xdr:row>367</xdr:row>
      <xdr:rowOff>41414</xdr:rowOff>
    </xdr:to>
    <xdr:graphicFrame macro="">
      <xdr:nvGraphicFramePr>
        <xdr:cNvPr id="27" name="Chart 26">
          <a:extLst>
            <a:ext uri="{FF2B5EF4-FFF2-40B4-BE49-F238E27FC236}">
              <a16:creationId xmlns:a16="http://schemas.microsoft.com/office/drawing/2014/main" id="{00000000-0008-0000-0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153787</xdr:colOff>
      <xdr:row>388</xdr:row>
      <xdr:rowOff>79058</xdr:rowOff>
    </xdr:from>
    <xdr:to>
      <xdr:col>5</xdr:col>
      <xdr:colOff>511385</xdr:colOff>
      <xdr:row>412</xdr:row>
      <xdr:rowOff>118745</xdr:rowOff>
    </xdr:to>
    <xdr:graphicFrame macro="">
      <xdr:nvGraphicFramePr>
        <xdr:cNvPr id="28" name="Chart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142875</xdr:colOff>
      <xdr:row>272</xdr:row>
      <xdr:rowOff>28575</xdr:rowOff>
    </xdr:from>
    <xdr:to>
      <xdr:col>5</xdr:col>
      <xdr:colOff>51766</xdr:colOff>
      <xdr:row>290</xdr:row>
      <xdr:rowOff>82826</xdr:rowOff>
    </xdr:to>
    <xdr:graphicFrame macro="">
      <xdr:nvGraphicFramePr>
        <xdr:cNvPr id="20" name="Chart 25">
          <a:extLst>
            <a:ext uri="{FF2B5EF4-FFF2-40B4-BE49-F238E27FC236}">
              <a16:creationId xmlns:a16="http://schemas.microsoft.com/office/drawing/2014/main" id="{65058E39-F414-4996-8EB4-05CB81C91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247650</xdr:colOff>
      <xdr:row>309</xdr:row>
      <xdr:rowOff>38100</xdr:rowOff>
    </xdr:from>
    <xdr:to>
      <xdr:col>5</xdr:col>
      <xdr:colOff>156541</xdr:colOff>
      <xdr:row>327</xdr:row>
      <xdr:rowOff>92351</xdr:rowOff>
    </xdr:to>
    <xdr:graphicFrame macro="">
      <xdr:nvGraphicFramePr>
        <xdr:cNvPr id="21" name="Chart 25">
          <a:extLst>
            <a:ext uri="{FF2B5EF4-FFF2-40B4-BE49-F238E27FC236}">
              <a16:creationId xmlns:a16="http://schemas.microsoft.com/office/drawing/2014/main" id="{02E4FA1E-1FF5-4886-8BED-A702FB0B9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984679</xdr:colOff>
      <xdr:row>18</xdr:row>
      <xdr:rowOff>94960</xdr:rowOff>
    </xdr:from>
    <xdr:to>
      <xdr:col>8</xdr:col>
      <xdr:colOff>32106</xdr:colOff>
      <xdr:row>36</xdr:row>
      <xdr:rowOff>68580</xdr:rowOff>
    </xdr:to>
    <xdr:graphicFrame macro="">
      <xdr:nvGraphicFramePr>
        <xdr:cNvPr id="11" name="Chart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90208</xdr:colOff>
      <xdr:row>36</xdr:row>
      <xdr:rowOff>94689</xdr:rowOff>
    </xdr:from>
    <xdr:to>
      <xdr:col>8</xdr:col>
      <xdr:colOff>123753</xdr:colOff>
      <xdr:row>53</xdr:row>
      <xdr:rowOff>151838</xdr:rowOff>
    </xdr:to>
    <xdr:graphicFrame macro="">
      <xdr:nvGraphicFramePr>
        <xdr:cNvPr id="13" name="Chart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138393</xdr:colOff>
      <xdr:row>54</xdr:row>
      <xdr:rowOff>146235</xdr:rowOff>
    </xdr:from>
    <xdr:to>
      <xdr:col>8</xdr:col>
      <xdr:colOff>166896</xdr:colOff>
      <xdr:row>72</xdr:row>
      <xdr:rowOff>51546</xdr:rowOff>
    </xdr:to>
    <xdr:graphicFrame macro="">
      <xdr:nvGraphicFramePr>
        <xdr:cNvPr id="14" name="Chart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66675</xdr:colOff>
      <xdr:row>91</xdr:row>
      <xdr:rowOff>147917</xdr:rowOff>
    </xdr:from>
    <xdr:to>
      <xdr:col>8</xdr:col>
      <xdr:colOff>104702</xdr:colOff>
      <xdr:row>109</xdr:row>
      <xdr:rowOff>43142</xdr:rowOff>
    </xdr:to>
    <xdr:graphicFrame macro="">
      <xdr:nvGraphicFramePr>
        <xdr:cNvPr id="15" name="Chart 14">
          <a:extLst>
            <a:ext uri="{FF2B5EF4-FFF2-40B4-BE49-F238E27FC236}">
              <a16:creationId xmlns:a16="http://schemas.microsoft.com/office/drawing/2014/main" id="{00000000-0008-0000-0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99173</xdr:colOff>
      <xdr:row>109</xdr:row>
      <xdr:rowOff>79001</xdr:rowOff>
    </xdr:from>
    <xdr:to>
      <xdr:col>8</xdr:col>
      <xdr:colOff>137200</xdr:colOff>
      <xdr:row>126</xdr:row>
      <xdr:rowOff>136151</xdr:rowOff>
    </xdr:to>
    <xdr:graphicFrame macro="">
      <xdr:nvGraphicFramePr>
        <xdr:cNvPr id="16" name="Chart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100853</xdr:colOff>
      <xdr:row>127</xdr:row>
      <xdr:rowOff>43142</xdr:rowOff>
    </xdr:from>
    <xdr:to>
      <xdr:col>8</xdr:col>
      <xdr:colOff>138880</xdr:colOff>
      <xdr:row>144</xdr:row>
      <xdr:rowOff>100293</xdr:rowOff>
    </xdr:to>
    <xdr:graphicFrame macro="">
      <xdr:nvGraphicFramePr>
        <xdr:cNvPr id="17" name="Chart 16">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26334</xdr:colOff>
      <xdr:row>165</xdr:row>
      <xdr:rowOff>154081</xdr:rowOff>
    </xdr:from>
    <xdr:to>
      <xdr:col>8</xdr:col>
      <xdr:colOff>54909</xdr:colOff>
      <xdr:row>183</xdr:row>
      <xdr:rowOff>54349</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11207</xdr:colOff>
      <xdr:row>207</xdr:row>
      <xdr:rowOff>76199</xdr:rowOff>
    </xdr:from>
    <xdr:to>
      <xdr:col>8</xdr:col>
      <xdr:colOff>44752</xdr:colOff>
      <xdr:row>224</xdr:row>
      <xdr:rowOff>45943</xdr:rowOff>
    </xdr:to>
    <xdr:graphicFrame macro="">
      <xdr:nvGraphicFramePr>
        <xdr:cNvPr id="22" name="Chart 21">
          <a:extLst>
            <a:ext uri="{FF2B5EF4-FFF2-40B4-BE49-F238E27FC236}">
              <a16:creationId xmlns:a16="http://schemas.microsoft.com/office/drawing/2014/main" id="{00000000-0008-0000-04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11205</xdr:colOff>
      <xdr:row>224</xdr:row>
      <xdr:rowOff>123264</xdr:rowOff>
    </xdr:from>
    <xdr:to>
      <xdr:col>8</xdr:col>
      <xdr:colOff>44750</xdr:colOff>
      <xdr:row>242</xdr:row>
      <xdr:rowOff>23531</xdr:rowOff>
    </xdr:to>
    <xdr:graphicFrame macro="">
      <xdr:nvGraphicFramePr>
        <xdr:cNvPr id="23" name="Chart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11206</xdr:colOff>
      <xdr:row>242</xdr:row>
      <xdr:rowOff>123265</xdr:rowOff>
    </xdr:from>
    <xdr:to>
      <xdr:col>8</xdr:col>
      <xdr:colOff>44751</xdr:colOff>
      <xdr:row>260</xdr:row>
      <xdr:rowOff>23533</xdr:rowOff>
    </xdr:to>
    <xdr:graphicFrame macro="">
      <xdr:nvGraphicFramePr>
        <xdr:cNvPr id="24" name="Chart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1</xdr:colOff>
      <xdr:row>279</xdr:row>
      <xdr:rowOff>89647</xdr:rowOff>
    </xdr:from>
    <xdr:to>
      <xdr:col>8</xdr:col>
      <xdr:colOff>38028</xdr:colOff>
      <xdr:row>296</xdr:row>
      <xdr:rowOff>141755</xdr:rowOff>
    </xdr:to>
    <xdr:graphicFrame macro="">
      <xdr:nvGraphicFramePr>
        <xdr:cNvPr id="25" name="Chart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297</xdr:row>
      <xdr:rowOff>78441</xdr:rowOff>
    </xdr:from>
    <xdr:to>
      <xdr:col>8</xdr:col>
      <xdr:colOff>38027</xdr:colOff>
      <xdr:row>314</xdr:row>
      <xdr:rowOff>130549</xdr:rowOff>
    </xdr:to>
    <xdr:graphicFrame macro="">
      <xdr:nvGraphicFramePr>
        <xdr:cNvPr id="20" name="Chart 19">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315</xdr:row>
      <xdr:rowOff>89647</xdr:rowOff>
    </xdr:from>
    <xdr:to>
      <xdr:col>8</xdr:col>
      <xdr:colOff>38027</xdr:colOff>
      <xdr:row>332</xdr:row>
      <xdr:rowOff>141755</xdr:rowOff>
    </xdr:to>
    <xdr:graphicFrame macro="">
      <xdr:nvGraphicFramePr>
        <xdr:cNvPr id="26" name="Chart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2</xdr:colOff>
      <xdr:row>353</xdr:row>
      <xdr:rowOff>1</xdr:rowOff>
    </xdr:from>
    <xdr:to>
      <xdr:col>8</xdr:col>
      <xdr:colOff>33547</xdr:colOff>
      <xdr:row>370</xdr:row>
      <xdr:rowOff>57151</xdr:rowOff>
    </xdr:to>
    <xdr:graphicFrame macro="">
      <xdr:nvGraphicFramePr>
        <xdr:cNvPr id="27" name="Chart 26">
          <a:extLst>
            <a:ext uri="{FF2B5EF4-FFF2-40B4-BE49-F238E27FC236}">
              <a16:creationId xmlns:a16="http://schemas.microsoft.com/office/drawing/2014/main" id="{00000000-0008-0000-04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11205</xdr:colOff>
      <xdr:row>370</xdr:row>
      <xdr:rowOff>134470</xdr:rowOff>
    </xdr:from>
    <xdr:to>
      <xdr:col>8</xdr:col>
      <xdr:colOff>44750</xdr:colOff>
      <xdr:row>388</xdr:row>
      <xdr:rowOff>34737</xdr:rowOff>
    </xdr:to>
    <xdr:graphicFrame macro="">
      <xdr:nvGraphicFramePr>
        <xdr:cNvPr id="28" name="Chart 27">
          <a:extLst>
            <a:ext uri="{FF2B5EF4-FFF2-40B4-BE49-F238E27FC236}">
              <a16:creationId xmlns:a16="http://schemas.microsoft.com/office/drawing/2014/main" id="{00000000-0008-0000-04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388</xdr:row>
      <xdr:rowOff>123265</xdr:rowOff>
    </xdr:from>
    <xdr:to>
      <xdr:col>8</xdr:col>
      <xdr:colOff>33545</xdr:colOff>
      <xdr:row>406</xdr:row>
      <xdr:rowOff>23533</xdr:rowOff>
    </xdr:to>
    <xdr:graphicFrame macro="">
      <xdr:nvGraphicFramePr>
        <xdr:cNvPr id="29" name="Chart 28">
          <a:extLst>
            <a:ext uri="{FF2B5EF4-FFF2-40B4-BE49-F238E27FC236}">
              <a16:creationId xmlns:a16="http://schemas.microsoft.com/office/drawing/2014/main" id="{00000000-0008-0000-04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963707</xdr:colOff>
      <xdr:row>425</xdr:row>
      <xdr:rowOff>123267</xdr:rowOff>
    </xdr:from>
    <xdr:to>
      <xdr:col>8</xdr:col>
      <xdr:colOff>15616</xdr:colOff>
      <xdr:row>443</xdr:row>
      <xdr:rowOff>18492</xdr:rowOff>
    </xdr:to>
    <xdr:graphicFrame macro="">
      <xdr:nvGraphicFramePr>
        <xdr:cNvPr id="30" name="Chart 29">
          <a:extLst>
            <a:ext uri="{FF2B5EF4-FFF2-40B4-BE49-F238E27FC236}">
              <a16:creationId xmlns:a16="http://schemas.microsoft.com/office/drawing/2014/main" id="{00000000-0008-0000-04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974913</xdr:colOff>
      <xdr:row>644</xdr:row>
      <xdr:rowOff>100853</xdr:rowOff>
    </xdr:from>
    <xdr:to>
      <xdr:col>8</xdr:col>
      <xdr:colOff>22340</xdr:colOff>
      <xdr:row>662</xdr:row>
      <xdr:rowOff>1121</xdr:rowOff>
    </xdr:to>
    <xdr:graphicFrame macro="">
      <xdr:nvGraphicFramePr>
        <xdr:cNvPr id="33" name="Chart 32">
          <a:extLst>
            <a:ext uri="{FF2B5EF4-FFF2-40B4-BE49-F238E27FC236}">
              <a16:creationId xmlns:a16="http://schemas.microsoft.com/office/drawing/2014/main" id="{00000000-0008-0000-04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0</xdr:colOff>
      <xdr:row>717</xdr:row>
      <xdr:rowOff>123264</xdr:rowOff>
    </xdr:from>
    <xdr:to>
      <xdr:col>8</xdr:col>
      <xdr:colOff>38027</xdr:colOff>
      <xdr:row>735</xdr:row>
      <xdr:rowOff>18490</xdr:rowOff>
    </xdr:to>
    <xdr:graphicFrame macro="">
      <xdr:nvGraphicFramePr>
        <xdr:cNvPr id="36" name="Chart 35">
          <a:extLst>
            <a:ext uri="{FF2B5EF4-FFF2-40B4-BE49-F238E27FC236}">
              <a16:creationId xmlns:a16="http://schemas.microsoft.com/office/drawing/2014/main" id="{00000000-0008-0000-04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941295</xdr:colOff>
      <xdr:row>443</xdr:row>
      <xdr:rowOff>123263</xdr:rowOff>
    </xdr:from>
    <xdr:to>
      <xdr:col>7</xdr:col>
      <xdr:colOff>979322</xdr:colOff>
      <xdr:row>461</xdr:row>
      <xdr:rowOff>18489</xdr:rowOff>
    </xdr:to>
    <xdr:graphicFrame macro="">
      <xdr:nvGraphicFramePr>
        <xdr:cNvPr id="37" name="Chart 36">
          <a:extLst>
            <a:ext uri="{FF2B5EF4-FFF2-40B4-BE49-F238E27FC236}">
              <a16:creationId xmlns:a16="http://schemas.microsoft.com/office/drawing/2014/main" id="{00000000-0008-0000-04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974913</xdr:colOff>
      <xdr:row>461</xdr:row>
      <xdr:rowOff>56029</xdr:rowOff>
    </xdr:from>
    <xdr:to>
      <xdr:col>8</xdr:col>
      <xdr:colOff>26822</xdr:colOff>
      <xdr:row>478</xdr:row>
      <xdr:rowOff>108137</xdr:rowOff>
    </xdr:to>
    <xdr:graphicFrame macro="">
      <xdr:nvGraphicFramePr>
        <xdr:cNvPr id="38" name="Chart 37">
          <a:extLst>
            <a:ext uri="{FF2B5EF4-FFF2-40B4-BE49-F238E27FC236}">
              <a16:creationId xmlns:a16="http://schemas.microsoft.com/office/drawing/2014/main" id="{00000000-0008-0000-0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974913</xdr:colOff>
      <xdr:row>662</xdr:row>
      <xdr:rowOff>100853</xdr:rowOff>
    </xdr:from>
    <xdr:to>
      <xdr:col>8</xdr:col>
      <xdr:colOff>22340</xdr:colOff>
      <xdr:row>680</xdr:row>
      <xdr:rowOff>1122</xdr:rowOff>
    </xdr:to>
    <xdr:graphicFrame macro="">
      <xdr:nvGraphicFramePr>
        <xdr:cNvPr id="39" name="Chart 38">
          <a:extLst>
            <a:ext uri="{FF2B5EF4-FFF2-40B4-BE49-F238E27FC236}">
              <a16:creationId xmlns:a16="http://schemas.microsoft.com/office/drawing/2014/main" id="{00000000-0008-0000-04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963707</xdr:colOff>
      <xdr:row>680</xdr:row>
      <xdr:rowOff>89646</xdr:rowOff>
    </xdr:from>
    <xdr:to>
      <xdr:col>8</xdr:col>
      <xdr:colOff>11134</xdr:colOff>
      <xdr:row>697</xdr:row>
      <xdr:rowOff>146796</xdr:rowOff>
    </xdr:to>
    <xdr:graphicFrame macro="">
      <xdr:nvGraphicFramePr>
        <xdr:cNvPr id="40" name="Chart 39">
          <a:extLst>
            <a:ext uri="{FF2B5EF4-FFF2-40B4-BE49-F238E27FC236}">
              <a16:creationId xmlns:a16="http://schemas.microsoft.com/office/drawing/2014/main" id="{00000000-0008-0000-04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xdr:col>
      <xdr:colOff>11207</xdr:colOff>
      <xdr:row>735</xdr:row>
      <xdr:rowOff>100853</xdr:rowOff>
    </xdr:from>
    <xdr:to>
      <xdr:col>8</xdr:col>
      <xdr:colOff>49234</xdr:colOff>
      <xdr:row>752</xdr:row>
      <xdr:rowOff>152961</xdr:rowOff>
    </xdr:to>
    <xdr:graphicFrame macro="">
      <xdr:nvGraphicFramePr>
        <xdr:cNvPr id="41" name="Chart 40">
          <a:extLst>
            <a:ext uri="{FF2B5EF4-FFF2-40B4-BE49-F238E27FC236}">
              <a16:creationId xmlns:a16="http://schemas.microsoft.com/office/drawing/2014/main" id="{00000000-0008-0000-04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22411</xdr:colOff>
      <xdr:row>753</xdr:row>
      <xdr:rowOff>100853</xdr:rowOff>
    </xdr:from>
    <xdr:to>
      <xdr:col>8</xdr:col>
      <xdr:colOff>60438</xdr:colOff>
      <xdr:row>770</xdr:row>
      <xdr:rowOff>152960</xdr:rowOff>
    </xdr:to>
    <xdr:graphicFrame macro="">
      <xdr:nvGraphicFramePr>
        <xdr:cNvPr id="42" name="Chart 41">
          <a:extLst>
            <a:ext uri="{FF2B5EF4-FFF2-40B4-BE49-F238E27FC236}">
              <a16:creationId xmlns:a16="http://schemas.microsoft.com/office/drawing/2014/main" id="{00000000-0008-0000-04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xdr:col>
      <xdr:colOff>22412</xdr:colOff>
      <xdr:row>498</xdr:row>
      <xdr:rowOff>44824</xdr:rowOff>
    </xdr:from>
    <xdr:to>
      <xdr:col>8</xdr:col>
      <xdr:colOff>480060</xdr:colOff>
      <xdr:row>515</xdr:row>
      <xdr:rowOff>96931</xdr:rowOff>
    </xdr:to>
    <xdr:graphicFrame macro="">
      <xdr:nvGraphicFramePr>
        <xdr:cNvPr id="31" name="Chart 29">
          <a:extLst>
            <a:ext uri="{FF2B5EF4-FFF2-40B4-BE49-F238E27FC236}">
              <a16:creationId xmlns:a16="http://schemas.microsoft.com/office/drawing/2014/main" id="{6326B99E-9149-4D73-8102-665EDBC2E0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78441</xdr:colOff>
      <xdr:row>515</xdr:row>
      <xdr:rowOff>67236</xdr:rowOff>
    </xdr:from>
    <xdr:to>
      <xdr:col>8</xdr:col>
      <xdr:colOff>335280</xdr:colOff>
      <xdr:row>532</xdr:row>
      <xdr:rowOff>124385</xdr:rowOff>
    </xdr:to>
    <xdr:graphicFrame macro="">
      <xdr:nvGraphicFramePr>
        <xdr:cNvPr id="32" name="Chart 27">
          <a:extLst>
            <a:ext uri="{FF2B5EF4-FFF2-40B4-BE49-F238E27FC236}">
              <a16:creationId xmlns:a16="http://schemas.microsoft.com/office/drawing/2014/main" id="{0D701D22-E481-4977-8B40-2D71433C0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xdr:col>
      <xdr:colOff>100852</xdr:colOff>
      <xdr:row>533</xdr:row>
      <xdr:rowOff>11207</xdr:rowOff>
    </xdr:from>
    <xdr:to>
      <xdr:col>8</xdr:col>
      <xdr:colOff>220980</xdr:colOff>
      <xdr:row>550</xdr:row>
      <xdr:rowOff>68358</xdr:rowOff>
    </xdr:to>
    <xdr:graphicFrame macro="">
      <xdr:nvGraphicFramePr>
        <xdr:cNvPr id="35" name="Chart 28">
          <a:extLst>
            <a:ext uri="{FF2B5EF4-FFF2-40B4-BE49-F238E27FC236}">
              <a16:creationId xmlns:a16="http://schemas.microsoft.com/office/drawing/2014/main" id="{5152B0B1-F5E4-42AC-9A71-EE0A19DD0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33618</xdr:colOff>
      <xdr:row>570</xdr:row>
      <xdr:rowOff>67235</xdr:rowOff>
    </xdr:from>
    <xdr:to>
      <xdr:col>8</xdr:col>
      <xdr:colOff>71645</xdr:colOff>
      <xdr:row>587</xdr:row>
      <xdr:rowOff>119342</xdr:rowOff>
    </xdr:to>
    <xdr:graphicFrame macro="">
      <xdr:nvGraphicFramePr>
        <xdr:cNvPr id="44" name="Chart 29">
          <a:extLst>
            <a:ext uri="{FF2B5EF4-FFF2-40B4-BE49-F238E27FC236}">
              <a16:creationId xmlns:a16="http://schemas.microsoft.com/office/drawing/2014/main" id="{40B92B49-C564-4DB1-8ED8-4774AD137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xdr:col>
      <xdr:colOff>22411</xdr:colOff>
      <xdr:row>588</xdr:row>
      <xdr:rowOff>44825</xdr:rowOff>
    </xdr:from>
    <xdr:to>
      <xdr:col>8</xdr:col>
      <xdr:colOff>60438</xdr:colOff>
      <xdr:row>605</xdr:row>
      <xdr:rowOff>96934</xdr:rowOff>
    </xdr:to>
    <xdr:graphicFrame macro="">
      <xdr:nvGraphicFramePr>
        <xdr:cNvPr id="45" name="Chart 36">
          <a:extLst>
            <a:ext uri="{FF2B5EF4-FFF2-40B4-BE49-F238E27FC236}">
              <a16:creationId xmlns:a16="http://schemas.microsoft.com/office/drawing/2014/main" id="{2F92F2E6-5ABF-413A-9F18-5CF2DA2A41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xdr:col>
      <xdr:colOff>0</xdr:colOff>
      <xdr:row>605</xdr:row>
      <xdr:rowOff>78442</xdr:rowOff>
    </xdr:from>
    <xdr:to>
      <xdr:col>8</xdr:col>
      <xdr:colOff>38027</xdr:colOff>
      <xdr:row>622</xdr:row>
      <xdr:rowOff>130550</xdr:rowOff>
    </xdr:to>
    <xdr:graphicFrame macro="">
      <xdr:nvGraphicFramePr>
        <xdr:cNvPr id="46" name="Chart 37">
          <a:extLst>
            <a:ext uri="{FF2B5EF4-FFF2-40B4-BE49-F238E27FC236}">
              <a16:creationId xmlns:a16="http://schemas.microsoft.com/office/drawing/2014/main" id="{13A2CB3F-497F-4C37-80FE-1AA7C8D7C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56810</xdr:colOff>
      <xdr:row>2</xdr:row>
      <xdr:rowOff>43543</xdr:rowOff>
    </xdr:from>
    <xdr:to>
      <xdr:col>10</xdr:col>
      <xdr:colOff>4763</xdr:colOff>
      <xdr:row>20</xdr:row>
      <xdr:rowOff>169069</xdr:rowOff>
    </xdr:to>
    <xdr:graphicFrame macro="">
      <xdr:nvGraphicFramePr>
        <xdr:cNvPr id="2" name="Diagramma 1">
          <a:extLst>
            <a:ext uri="{FF2B5EF4-FFF2-40B4-BE49-F238E27FC236}">
              <a16:creationId xmlns:a16="http://schemas.microsoft.com/office/drawing/2014/main" id="{7F9215AF-5E17-4522-9D3A-45A2427A66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15875</xdr:colOff>
      <xdr:row>23</xdr:row>
      <xdr:rowOff>26535</xdr:rowOff>
    </xdr:from>
    <xdr:to>
      <xdr:col>9</xdr:col>
      <xdr:colOff>690790</xdr:colOff>
      <xdr:row>40</xdr:row>
      <xdr:rowOff>169636</xdr:rowOff>
    </xdr:to>
    <xdr:graphicFrame macro="">
      <xdr:nvGraphicFramePr>
        <xdr:cNvPr id="3" name="Diagramma 2">
          <a:extLst>
            <a:ext uri="{FF2B5EF4-FFF2-40B4-BE49-F238E27FC236}">
              <a16:creationId xmlns:a16="http://schemas.microsoft.com/office/drawing/2014/main" id="{D248B763-052F-4091-BABF-26F51527EB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47626</xdr:colOff>
      <xdr:row>56</xdr:row>
      <xdr:rowOff>87087</xdr:rowOff>
    </xdr:from>
    <xdr:to>
      <xdr:col>4</xdr:col>
      <xdr:colOff>13607</xdr:colOff>
      <xdr:row>74</xdr:row>
      <xdr:rowOff>130628</xdr:rowOff>
    </xdr:to>
    <xdr:graphicFrame macro="">
      <xdr:nvGraphicFramePr>
        <xdr:cNvPr id="4" name="Diagramma 3">
          <a:extLst>
            <a:ext uri="{FF2B5EF4-FFF2-40B4-BE49-F238E27FC236}">
              <a16:creationId xmlns:a16="http://schemas.microsoft.com/office/drawing/2014/main" id="{8D350C12-84B8-4FBB-B343-450E9FACF9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77</xdr:row>
      <xdr:rowOff>65315</xdr:rowOff>
    </xdr:from>
    <xdr:to>
      <xdr:col>4</xdr:col>
      <xdr:colOff>232834</xdr:colOff>
      <xdr:row>95</xdr:row>
      <xdr:rowOff>97971</xdr:rowOff>
    </xdr:to>
    <xdr:graphicFrame macro="">
      <xdr:nvGraphicFramePr>
        <xdr:cNvPr id="5" name="Chart 15">
          <a:extLst>
            <a:ext uri="{FF2B5EF4-FFF2-40B4-BE49-F238E27FC236}">
              <a16:creationId xmlns:a16="http://schemas.microsoft.com/office/drawing/2014/main" id="{26CBACEA-4651-4BDD-B8F1-C29CDA347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47409</xdr:colOff>
      <xdr:row>99</xdr:row>
      <xdr:rowOff>2673</xdr:rowOff>
    </xdr:from>
    <xdr:to>
      <xdr:col>4</xdr:col>
      <xdr:colOff>476250</xdr:colOff>
      <xdr:row>118</xdr:row>
      <xdr:rowOff>2672</xdr:rowOff>
    </xdr:to>
    <xdr:graphicFrame macro="">
      <xdr:nvGraphicFramePr>
        <xdr:cNvPr id="9" name="Diagramma 1">
          <a:extLst>
            <a:ext uri="{FF2B5EF4-FFF2-40B4-BE49-F238E27FC236}">
              <a16:creationId xmlns:a16="http://schemas.microsoft.com/office/drawing/2014/main" id="{00DBFA85-E11C-43C7-B8EB-DA915A381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88775</xdr:colOff>
      <xdr:row>119</xdr:row>
      <xdr:rowOff>38595</xdr:rowOff>
    </xdr:from>
    <xdr:to>
      <xdr:col>4</xdr:col>
      <xdr:colOff>476250</xdr:colOff>
      <xdr:row>138</xdr:row>
      <xdr:rowOff>0</xdr:rowOff>
    </xdr:to>
    <xdr:graphicFrame macro="">
      <xdr:nvGraphicFramePr>
        <xdr:cNvPr id="11" name="Diagramma 1">
          <a:extLst>
            <a:ext uri="{FF2B5EF4-FFF2-40B4-BE49-F238E27FC236}">
              <a16:creationId xmlns:a16="http://schemas.microsoft.com/office/drawing/2014/main" id="{7F8648B0-3F5C-4D47-B556-FD0D56CBC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238125</xdr:colOff>
      <xdr:row>140</xdr:row>
      <xdr:rowOff>25399</xdr:rowOff>
    </xdr:from>
    <xdr:to>
      <xdr:col>4</xdr:col>
      <xdr:colOff>1058333</xdr:colOff>
      <xdr:row>157</xdr:row>
      <xdr:rowOff>105834</xdr:rowOff>
    </xdr:to>
    <xdr:graphicFrame macro="">
      <xdr:nvGraphicFramePr>
        <xdr:cNvPr id="6" name="Chart 5">
          <a:extLst>
            <a:ext uri="{FF2B5EF4-FFF2-40B4-BE49-F238E27FC236}">
              <a16:creationId xmlns:a16="http://schemas.microsoft.com/office/drawing/2014/main" id="{352FF196-78DB-A424-BFA2-AE79FD6229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243416</xdr:colOff>
      <xdr:row>139</xdr:row>
      <xdr:rowOff>137583</xdr:rowOff>
    </xdr:from>
    <xdr:to>
      <xdr:col>11</xdr:col>
      <xdr:colOff>349249</xdr:colOff>
      <xdr:row>158</xdr:row>
      <xdr:rowOff>158749</xdr:rowOff>
    </xdr:to>
    <xdr:graphicFrame macro="">
      <xdr:nvGraphicFramePr>
        <xdr:cNvPr id="7" name="Chart 6">
          <a:extLst>
            <a:ext uri="{FF2B5EF4-FFF2-40B4-BE49-F238E27FC236}">
              <a16:creationId xmlns:a16="http://schemas.microsoft.com/office/drawing/2014/main" id="{5E16870F-C167-4545-9153-561534F04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10583</xdr:colOff>
      <xdr:row>172</xdr:row>
      <xdr:rowOff>31751</xdr:rowOff>
    </xdr:from>
    <xdr:to>
      <xdr:col>4</xdr:col>
      <xdr:colOff>830791</xdr:colOff>
      <xdr:row>189</xdr:row>
      <xdr:rowOff>112185</xdr:rowOff>
    </xdr:to>
    <xdr:graphicFrame macro="">
      <xdr:nvGraphicFramePr>
        <xdr:cNvPr id="8" name="Chart 7">
          <a:extLst>
            <a:ext uri="{FF2B5EF4-FFF2-40B4-BE49-F238E27FC236}">
              <a16:creationId xmlns:a16="http://schemas.microsoft.com/office/drawing/2014/main" id="{48A2EB5C-27B6-43E0-A0B2-04DE405A92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10583</xdr:colOff>
      <xdr:row>172</xdr:row>
      <xdr:rowOff>158750</xdr:rowOff>
    </xdr:from>
    <xdr:to>
      <xdr:col>11</xdr:col>
      <xdr:colOff>116416</xdr:colOff>
      <xdr:row>189</xdr:row>
      <xdr:rowOff>116416</xdr:rowOff>
    </xdr:to>
    <xdr:graphicFrame macro="">
      <xdr:nvGraphicFramePr>
        <xdr:cNvPr id="10" name="Chart 9">
          <a:extLst>
            <a:ext uri="{FF2B5EF4-FFF2-40B4-BE49-F238E27FC236}">
              <a16:creationId xmlns:a16="http://schemas.microsoft.com/office/drawing/2014/main" id="{66CECA2C-78BD-4A40-8095-BA519EB77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204</xdr:row>
      <xdr:rowOff>21168</xdr:rowOff>
    </xdr:from>
    <xdr:to>
      <xdr:col>4</xdr:col>
      <xdr:colOff>1354665</xdr:colOff>
      <xdr:row>224</xdr:row>
      <xdr:rowOff>116417</xdr:rowOff>
    </xdr:to>
    <xdr:graphicFrame macro="">
      <xdr:nvGraphicFramePr>
        <xdr:cNvPr id="12" name="Chart 11">
          <a:extLst>
            <a:ext uri="{FF2B5EF4-FFF2-40B4-BE49-F238E27FC236}">
              <a16:creationId xmlns:a16="http://schemas.microsoft.com/office/drawing/2014/main" id="{2946F04B-B345-48A6-AB92-1D9AA816EA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1529293</xdr:colOff>
      <xdr:row>204</xdr:row>
      <xdr:rowOff>152401</xdr:rowOff>
    </xdr:from>
    <xdr:to>
      <xdr:col>7</xdr:col>
      <xdr:colOff>772584</xdr:colOff>
      <xdr:row>223</xdr:row>
      <xdr:rowOff>52916</xdr:rowOff>
    </xdr:to>
    <xdr:graphicFrame macro="">
      <xdr:nvGraphicFramePr>
        <xdr:cNvPr id="13" name="Chart 12">
          <a:extLst>
            <a:ext uri="{FF2B5EF4-FFF2-40B4-BE49-F238E27FC236}">
              <a16:creationId xmlns:a16="http://schemas.microsoft.com/office/drawing/2014/main" id="{13663848-870A-9EAF-51CB-A41331E06D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878417</xdr:colOff>
      <xdr:row>204</xdr:row>
      <xdr:rowOff>137584</xdr:rowOff>
    </xdr:from>
    <xdr:to>
      <xdr:col>11</xdr:col>
      <xdr:colOff>650874</xdr:colOff>
      <xdr:row>223</xdr:row>
      <xdr:rowOff>38099</xdr:rowOff>
    </xdr:to>
    <xdr:graphicFrame macro="">
      <xdr:nvGraphicFramePr>
        <xdr:cNvPr id="15" name="Chart 14">
          <a:extLst>
            <a:ext uri="{FF2B5EF4-FFF2-40B4-BE49-F238E27FC236}">
              <a16:creationId xmlns:a16="http://schemas.microsoft.com/office/drawing/2014/main" id="{8A88ADE0-2CC2-4BAE-8B00-18DB17183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ndrejs Migunovs" id="{4F713801-A43F-4E48-B5FE-81C8AADD49D9}" userId="S::andrejs.migunovs@fdp.gov.lv::3c3c7df6-ff1b-40d4-90ce-52e54606733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Pielāgots 1">
    <a:dk1>
      <a:srgbClr val="000000"/>
    </a:dk1>
    <a:lt1>
      <a:sysClr val="window" lastClr="FFFFFF"/>
    </a:lt1>
    <a:dk2>
      <a:srgbClr val="242852"/>
    </a:dk2>
    <a:lt2>
      <a:srgbClr val="ACCBF9"/>
    </a:lt2>
    <a:accent1>
      <a:srgbClr val="0E57C4"/>
    </a:accent1>
    <a:accent2>
      <a:srgbClr val="242852"/>
    </a:accent2>
    <a:accent3>
      <a:srgbClr val="374C81"/>
    </a:accent3>
    <a:accent4>
      <a:srgbClr val="7F7F7F"/>
    </a:accent4>
    <a:accent5>
      <a:srgbClr val="AA2222"/>
    </a:accent5>
    <a:accent6>
      <a:srgbClr val="84B2F6"/>
    </a:accent6>
    <a:hlink>
      <a:srgbClr val="05B392"/>
    </a:hlink>
    <a:folHlink>
      <a:srgbClr val="3EBBF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Pielāgots 1">
    <a:dk1>
      <a:srgbClr val="000000"/>
    </a:dk1>
    <a:lt1>
      <a:sysClr val="window" lastClr="FFFFFF"/>
    </a:lt1>
    <a:dk2>
      <a:srgbClr val="242852"/>
    </a:dk2>
    <a:lt2>
      <a:srgbClr val="ACCBF9"/>
    </a:lt2>
    <a:accent1>
      <a:srgbClr val="0E57C4"/>
    </a:accent1>
    <a:accent2>
      <a:srgbClr val="242852"/>
    </a:accent2>
    <a:accent3>
      <a:srgbClr val="374C81"/>
    </a:accent3>
    <a:accent4>
      <a:srgbClr val="7F7F7F"/>
    </a:accent4>
    <a:accent5>
      <a:srgbClr val="AA2222"/>
    </a:accent5>
    <a:accent6>
      <a:srgbClr val="84B2F6"/>
    </a:accent6>
    <a:hlink>
      <a:srgbClr val="05B392"/>
    </a:hlink>
    <a:folHlink>
      <a:srgbClr val="3EBBF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FDP">
    <a:dk1>
      <a:srgbClr val="000000"/>
    </a:dk1>
    <a:lt1>
      <a:srgbClr val="FFFFFF"/>
    </a:lt1>
    <a:dk2>
      <a:srgbClr val="012069"/>
    </a:dk2>
    <a:lt2>
      <a:srgbClr val="00859B"/>
    </a:lt2>
    <a:accent1>
      <a:srgbClr val="0057B8"/>
    </a:accent1>
    <a:accent2>
      <a:srgbClr val="1F2A44"/>
    </a:accent2>
    <a:accent3>
      <a:srgbClr val="415563"/>
    </a:accent3>
    <a:accent4>
      <a:srgbClr val="828992"/>
    </a:accent4>
    <a:accent5>
      <a:srgbClr val="9D2234"/>
    </a:accent5>
    <a:accent6>
      <a:srgbClr val="7DA538"/>
    </a:accent6>
    <a:hlink>
      <a:srgbClr val="68478D"/>
    </a:hlink>
    <a:folHlink>
      <a:srgbClr val="830B5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D23" dT="2022-02-18T09:40:25.67" personId="{4F713801-A43F-4E48-B5FE-81C8AADD49D9}" id="{6366BAD4-3272-4E0F-A7F3-9FC5B37C788D}">
    <text>Lineāri sadalīts uz 12 mēnešiem</text>
  </threadedComment>
  <threadedComment ref="E23" dT="2022-02-18T09:37:26.62" personId="{4F713801-A43F-4E48-B5FE-81C8AADD49D9}" id="{512FF821-CAE0-43F1-B96D-3CECE5243A9C}">
    <text>Lineāri sadalīts uz 12 mēnešiem</text>
  </threadedComment>
</ThreadedComments>
</file>

<file path=xl/threadedComments/threadedComment2.xml><?xml version="1.0" encoding="utf-8"?>
<ThreadedComments xmlns="http://schemas.microsoft.com/office/spreadsheetml/2018/threadedcomments" xmlns:x="http://schemas.openxmlformats.org/spreadsheetml/2006/main">
  <threadedComment ref="B45" dT="2022-02-21T08:02:00.06" personId="{4F713801-A43F-4E48-B5FE-81C8AADD49D9}" id="{7A7BA34C-1969-440A-943E-9654F4F1E7AE}">
    <text>Indirect(address(row(); count(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kase.gov.lv/parskati/kopbudzeta-izpildes-parskati/menesa-parskati"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kase.gov.lv/parskati/kopbudzeta-izpildes-parskati/menesa-parskati"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kase.gov.lv/parskati/kopbudzeta-izpildes-parskati/menesa-parskati"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2"/>
  <sheetViews>
    <sheetView tabSelected="1" zoomScale="90" zoomScaleNormal="90" zoomScaleSheetLayoutView="100" workbookViewId="0"/>
  </sheetViews>
  <sheetFormatPr defaultColWidth="0" defaultRowHeight="14.4" zeroHeight="1"/>
  <cols>
    <col min="1" max="1" width="15.21875" style="2" customWidth="1"/>
    <col min="2" max="2" width="63.21875" style="2" customWidth="1"/>
    <col min="3" max="3" width="73.21875" style="2" customWidth="1"/>
    <col min="4" max="16384" width="9.21875" style="2" hidden="1"/>
  </cols>
  <sheetData>
    <row r="1" spans="1:3" ht="15.6">
      <c r="A1" s="31" t="s">
        <v>212</v>
      </c>
    </row>
    <row r="2" spans="1:3" ht="15.6">
      <c r="A2" s="31" t="s">
        <v>49</v>
      </c>
    </row>
    <row r="3" spans="1:3" ht="5.25" customHeight="1"/>
    <row r="4" spans="1:3">
      <c r="A4" s="32" t="s">
        <v>36</v>
      </c>
      <c r="B4" s="32" t="s">
        <v>37</v>
      </c>
      <c r="C4" s="32" t="s">
        <v>38</v>
      </c>
    </row>
    <row r="5" spans="1:3">
      <c r="A5" s="30">
        <v>1</v>
      </c>
      <c r="B5" s="2" t="s">
        <v>39</v>
      </c>
      <c r="C5" s="2" t="s">
        <v>42</v>
      </c>
    </row>
    <row r="6" spans="1:3">
      <c r="A6" s="30">
        <v>2</v>
      </c>
      <c r="B6" s="2" t="s">
        <v>176</v>
      </c>
      <c r="C6" s="2" t="s">
        <v>43</v>
      </c>
    </row>
    <row r="7" spans="1:3">
      <c r="A7" s="30">
        <v>3</v>
      </c>
      <c r="B7" s="2" t="s">
        <v>40</v>
      </c>
      <c r="C7" s="2" t="s">
        <v>44</v>
      </c>
    </row>
    <row r="8" spans="1:3">
      <c r="A8" s="30">
        <v>4</v>
      </c>
      <c r="B8" s="2" t="s">
        <v>177</v>
      </c>
      <c r="C8" s="2" t="s">
        <v>45</v>
      </c>
    </row>
    <row r="9" spans="1:3">
      <c r="A9" s="30">
        <v>5</v>
      </c>
      <c r="B9" s="2" t="s">
        <v>188</v>
      </c>
      <c r="C9" s="2" t="s">
        <v>189</v>
      </c>
    </row>
    <row r="10" spans="1:3">
      <c r="A10" s="2" t="s">
        <v>84</v>
      </c>
      <c r="B10" s="2" t="s">
        <v>85</v>
      </c>
      <c r="C10" s="2" t="s">
        <v>86</v>
      </c>
    </row>
    <row r="11" spans="1:3" hidden="1">
      <c r="A11" s="30">
        <v>5</v>
      </c>
      <c r="B11" s="2" t="s">
        <v>41</v>
      </c>
      <c r="C11" s="2" t="s">
        <v>46</v>
      </c>
    </row>
    <row r="12" spans="1:3" hidden="1">
      <c r="A12" s="30">
        <v>6</v>
      </c>
      <c r="B12" s="2" t="s">
        <v>47</v>
      </c>
      <c r="C12" s="2" t="s">
        <v>48</v>
      </c>
    </row>
  </sheetData>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M44"/>
  <sheetViews>
    <sheetView zoomScale="80" zoomScaleNormal="80" zoomScaleSheetLayoutView="85" workbookViewId="0">
      <pane xSplit="1" topLeftCell="DB1" activePane="topRight" state="frozen"/>
      <selection pane="topRight"/>
    </sheetView>
  </sheetViews>
  <sheetFormatPr defaultColWidth="0" defaultRowHeight="14.4" zeroHeight="1"/>
  <cols>
    <col min="1" max="1" width="50.77734375" style="45" customWidth="1"/>
    <col min="2" max="12" width="8.44140625" style="45" customWidth="1"/>
    <col min="13" max="13" width="9.21875" style="45" customWidth="1"/>
    <col min="14" max="14" width="10" style="45" customWidth="1"/>
    <col min="15" max="18" width="8.77734375" style="45" customWidth="1"/>
    <col min="19" max="19" width="9.77734375" style="45" customWidth="1"/>
    <col min="20" max="20" width="10" style="45" customWidth="1"/>
    <col min="21" max="21" width="10.44140625" style="45" customWidth="1"/>
    <col min="22" max="22" width="9.44140625" style="45" customWidth="1"/>
    <col min="23" max="23" width="8.77734375" style="45" customWidth="1"/>
    <col min="24" max="24" width="10" style="45" customWidth="1"/>
    <col min="25" max="25" width="9.77734375" style="45" customWidth="1"/>
    <col min="26" max="26" width="10.21875" style="45" customWidth="1"/>
    <col min="27" max="27" width="9.77734375" style="45" customWidth="1"/>
    <col min="28" max="30" width="10.21875" style="45" customWidth="1"/>
    <col min="31" max="32" width="10.77734375" style="45" customWidth="1"/>
    <col min="33" max="36" width="10.21875" style="45" customWidth="1"/>
    <col min="37" max="38" width="10" style="45" customWidth="1"/>
    <col min="39" max="39" width="10.77734375" style="45" customWidth="1"/>
    <col min="40" max="44" width="10.21875" style="45" customWidth="1"/>
    <col min="45" max="49" width="10.77734375" style="45" customWidth="1"/>
    <col min="50" max="51" width="11.21875" style="45" customWidth="1"/>
    <col min="52" max="52" width="12.44140625" style="45" customWidth="1"/>
    <col min="53" max="53" width="13.21875" style="45" customWidth="1"/>
    <col min="54" max="54" width="9.21875" style="45" customWidth="1"/>
    <col min="55" max="55" width="12.77734375" style="45" customWidth="1"/>
    <col min="56" max="58" width="9.77734375" style="45" customWidth="1"/>
    <col min="59" max="61" width="11.44140625" style="45" customWidth="1"/>
    <col min="62" max="65" width="12.5546875" style="45" customWidth="1"/>
    <col min="66" max="66" width="13.5546875" style="45" customWidth="1"/>
    <col min="67" max="67" width="10.77734375" style="45" customWidth="1"/>
    <col min="68" max="78" width="13.21875" style="45" customWidth="1"/>
    <col min="79" max="79" width="14.77734375" style="45" customWidth="1"/>
    <col min="80" max="91" width="13.21875" style="45" customWidth="1"/>
    <col min="92" max="92" width="17.21875" style="45" customWidth="1"/>
    <col min="93" max="104" width="13.77734375" style="45" customWidth="1"/>
    <col min="105" max="105" width="18" style="45" customWidth="1"/>
    <col min="106" max="112" width="13.77734375" style="45" customWidth="1"/>
    <col min="113" max="113" width="18" style="45" customWidth="1"/>
    <col min="114" max="115" width="9.21875" style="45" customWidth="1"/>
    <col min="116" max="117" width="0" style="45" hidden="1" customWidth="1"/>
    <col min="118" max="16384" width="9.21875" style="45" hidden="1"/>
  </cols>
  <sheetData>
    <row r="1" spans="1:114" s="34" customFormat="1">
      <c r="A1" s="33" t="s">
        <v>0</v>
      </c>
    </row>
    <row r="2" spans="1:114" s="34" customFormat="1" ht="12.75" customHeight="1">
      <c r="A2" s="35" t="s">
        <v>50</v>
      </c>
    </row>
    <row r="3" spans="1:114" s="34" customFormat="1" ht="18" customHeight="1">
      <c r="A3" s="36"/>
      <c r="B3" s="36"/>
      <c r="C3" s="36"/>
      <c r="D3" s="36"/>
      <c r="E3" s="36"/>
      <c r="F3" s="36"/>
      <c r="G3" s="36"/>
      <c r="H3" s="36"/>
      <c r="I3" s="36"/>
      <c r="J3" s="36"/>
      <c r="K3" s="36"/>
      <c r="L3" s="36"/>
      <c r="M3" s="36"/>
      <c r="N3" s="36"/>
      <c r="O3" s="36"/>
      <c r="P3" s="36"/>
      <c r="Q3" s="36"/>
      <c r="R3" s="36"/>
      <c r="S3" s="36"/>
      <c r="T3" s="36"/>
      <c r="U3" s="36"/>
      <c r="V3" s="36"/>
      <c r="W3" s="36"/>
      <c r="X3" s="36"/>
      <c r="DB3" s="377"/>
      <c r="DC3" s="377"/>
      <c r="DD3" s="377"/>
      <c r="DE3" s="377"/>
      <c r="DF3" s="377"/>
      <c r="DG3" s="377"/>
      <c r="DH3" s="377"/>
    </row>
    <row r="4" spans="1:114" ht="14.25" customHeight="1">
      <c r="A4" s="37"/>
      <c r="B4" s="38">
        <v>43101</v>
      </c>
      <c r="C4" s="38">
        <v>43132</v>
      </c>
      <c r="D4" s="38">
        <v>43160</v>
      </c>
      <c r="E4" s="38">
        <v>43191</v>
      </c>
      <c r="F4" s="38">
        <v>43221</v>
      </c>
      <c r="G4" s="38">
        <v>43252</v>
      </c>
      <c r="H4" s="38">
        <v>43282</v>
      </c>
      <c r="I4" s="38">
        <v>43313</v>
      </c>
      <c r="J4" s="38">
        <v>43344</v>
      </c>
      <c r="K4" s="38">
        <v>43374</v>
      </c>
      <c r="L4" s="38">
        <v>43405</v>
      </c>
      <c r="M4" s="38">
        <v>43435</v>
      </c>
      <c r="N4" s="52" t="s">
        <v>21</v>
      </c>
      <c r="O4" s="51">
        <v>43466</v>
      </c>
      <c r="P4" s="38">
        <v>43497</v>
      </c>
      <c r="Q4" s="38">
        <v>43525</v>
      </c>
      <c r="R4" s="38">
        <v>43556</v>
      </c>
      <c r="S4" s="38">
        <v>43586</v>
      </c>
      <c r="T4" s="38">
        <v>43617</v>
      </c>
      <c r="U4" s="38">
        <v>43647</v>
      </c>
      <c r="V4" s="38">
        <v>43678</v>
      </c>
      <c r="W4" s="38">
        <v>43709</v>
      </c>
      <c r="X4" s="38">
        <v>43739</v>
      </c>
      <c r="Y4" s="38">
        <v>43770</v>
      </c>
      <c r="Z4" s="38">
        <v>43800</v>
      </c>
      <c r="AA4" s="52" t="s">
        <v>75</v>
      </c>
      <c r="AB4" s="38">
        <v>43831</v>
      </c>
      <c r="AC4" s="38">
        <v>43862</v>
      </c>
      <c r="AD4" s="73">
        <v>43892</v>
      </c>
      <c r="AE4" s="38">
        <v>43922</v>
      </c>
      <c r="AF4" s="73">
        <v>43952</v>
      </c>
      <c r="AG4" s="38">
        <v>43983</v>
      </c>
      <c r="AH4" s="38">
        <v>44013</v>
      </c>
      <c r="AI4" s="38">
        <v>44044</v>
      </c>
      <c r="AJ4" s="38">
        <v>44075</v>
      </c>
      <c r="AK4" s="73">
        <v>44105</v>
      </c>
      <c r="AL4" s="38">
        <v>44136</v>
      </c>
      <c r="AM4" s="73">
        <v>44166</v>
      </c>
      <c r="AN4" s="52">
        <v>43783</v>
      </c>
      <c r="AO4" s="38">
        <v>44197</v>
      </c>
      <c r="AP4" s="73">
        <v>44228</v>
      </c>
      <c r="AQ4" s="38">
        <v>44256</v>
      </c>
      <c r="AR4" s="73">
        <v>44287</v>
      </c>
      <c r="AS4" s="38">
        <v>44317</v>
      </c>
      <c r="AT4" s="73">
        <v>44348</v>
      </c>
      <c r="AU4" s="38">
        <v>44378</v>
      </c>
      <c r="AV4" s="73">
        <v>44409</v>
      </c>
      <c r="AW4" s="38">
        <v>44440</v>
      </c>
      <c r="AX4" s="73">
        <v>44470</v>
      </c>
      <c r="AY4" s="38">
        <v>44501</v>
      </c>
      <c r="AZ4" s="73">
        <v>44531</v>
      </c>
      <c r="BA4" s="52">
        <v>44174</v>
      </c>
      <c r="BB4" s="38">
        <v>44562</v>
      </c>
      <c r="BC4" s="82">
        <v>44593</v>
      </c>
      <c r="BD4" s="82">
        <v>44621</v>
      </c>
      <c r="BE4" s="38">
        <v>44652</v>
      </c>
      <c r="BF4" s="82">
        <v>44682</v>
      </c>
      <c r="BG4" s="38">
        <v>44713</v>
      </c>
      <c r="BH4" s="82">
        <v>44743</v>
      </c>
      <c r="BI4" s="82">
        <v>44774</v>
      </c>
      <c r="BJ4" s="82">
        <v>44805</v>
      </c>
      <c r="BK4" s="38">
        <v>44835</v>
      </c>
      <c r="BL4" s="38">
        <v>44866</v>
      </c>
      <c r="BM4" s="82">
        <v>44896</v>
      </c>
      <c r="BN4" s="79">
        <v>44523</v>
      </c>
      <c r="BO4" s="82">
        <v>44927</v>
      </c>
      <c r="BP4" s="82">
        <v>44958</v>
      </c>
      <c r="BQ4" s="82">
        <v>44986</v>
      </c>
      <c r="BR4" s="82">
        <v>45017</v>
      </c>
      <c r="BS4" s="82">
        <v>45047</v>
      </c>
      <c r="BT4" s="82">
        <v>45078</v>
      </c>
      <c r="BU4" s="82">
        <v>45108</v>
      </c>
      <c r="BV4" s="82">
        <v>45139</v>
      </c>
      <c r="BW4" s="82">
        <v>45170</v>
      </c>
      <c r="BX4" s="82">
        <v>45200</v>
      </c>
      <c r="BY4" s="82">
        <v>45231</v>
      </c>
      <c r="BZ4" s="82">
        <v>45261</v>
      </c>
      <c r="CA4" s="120">
        <v>44964</v>
      </c>
      <c r="CB4" s="130">
        <v>45292</v>
      </c>
      <c r="CC4" s="82">
        <v>45323</v>
      </c>
      <c r="CD4" s="82">
        <v>45352</v>
      </c>
      <c r="CE4" s="82">
        <v>45383</v>
      </c>
      <c r="CF4" s="130">
        <v>45413</v>
      </c>
      <c r="CG4" s="82">
        <v>45444</v>
      </c>
      <c r="CH4" s="130">
        <v>45474</v>
      </c>
      <c r="CI4" s="82">
        <v>45505</v>
      </c>
      <c r="CJ4" s="130">
        <v>45536</v>
      </c>
      <c r="CK4" s="82">
        <v>45566</v>
      </c>
      <c r="CL4" s="130">
        <v>45597</v>
      </c>
      <c r="CM4" s="82">
        <v>45627</v>
      </c>
      <c r="CN4" s="183">
        <v>45269</v>
      </c>
      <c r="CO4" s="189">
        <v>45658</v>
      </c>
      <c r="CP4" s="82">
        <v>45689</v>
      </c>
      <c r="CQ4" s="82">
        <v>45717</v>
      </c>
      <c r="CR4" s="82">
        <v>45748</v>
      </c>
      <c r="CS4" s="82">
        <v>45778</v>
      </c>
      <c r="CT4" s="82">
        <v>45809</v>
      </c>
      <c r="CU4" s="82">
        <v>45839</v>
      </c>
      <c r="CV4" s="82">
        <v>45870</v>
      </c>
      <c r="CW4" s="82">
        <v>45901</v>
      </c>
      <c r="CX4" s="82">
        <v>45931</v>
      </c>
      <c r="CY4" s="82">
        <v>45962</v>
      </c>
      <c r="CZ4" s="82">
        <v>45992</v>
      </c>
      <c r="DA4" s="192">
        <v>45632</v>
      </c>
      <c r="DB4" s="82">
        <v>46023</v>
      </c>
      <c r="DC4" s="82">
        <v>46054</v>
      </c>
      <c r="DD4" s="82">
        <v>46082</v>
      </c>
      <c r="DE4" s="82">
        <v>46113</v>
      </c>
      <c r="DF4" s="82">
        <v>46143</v>
      </c>
      <c r="DG4" s="82">
        <v>46174</v>
      </c>
      <c r="DH4" s="82">
        <v>46204</v>
      </c>
      <c r="DI4" s="192">
        <v>45995</v>
      </c>
    </row>
    <row r="5" spans="1:114" s="237" customFormat="1" ht="15" hidden="1" customHeight="1">
      <c r="A5" s="224" t="s">
        <v>29</v>
      </c>
      <c r="B5" s="225"/>
      <c r="C5" s="225"/>
      <c r="D5" s="225"/>
      <c r="E5" s="225"/>
      <c r="F5" s="225"/>
      <c r="G5" s="225"/>
      <c r="H5" s="225"/>
      <c r="I5" s="225"/>
      <c r="J5" s="225"/>
      <c r="K5" s="225"/>
      <c r="L5" s="225"/>
      <c r="M5" s="225">
        <f t="shared" ref="M5:AA5" si="0">M8-M7-M6</f>
        <v>-1.6690722085918206</v>
      </c>
      <c r="N5" s="226">
        <f t="shared" si="0"/>
        <v>-1.068002377002065</v>
      </c>
      <c r="O5" s="225">
        <f t="shared" si="0"/>
        <v>-2.2772236171041182E-2</v>
      </c>
      <c r="P5" s="225">
        <f t="shared" si="0"/>
        <v>0.34817999728471216</v>
      </c>
      <c r="Q5" s="225">
        <f t="shared" si="0"/>
        <v>6.9293378192413213E-2</v>
      </c>
      <c r="R5" s="225">
        <f t="shared" si="0"/>
        <v>0.31601237025364137</v>
      </c>
      <c r="S5" s="225">
        <f t="shared" ref="S5:Y5" si="1">S8-S7-S6</f>
        <v>1.1389017378285522</v>
      </c>
      <c r="T5" s="225">
        <f t="shared" si="1"/>
        <v>1.7006973010936295</v>
      </c>
      <c r="U5" s="225">
        <f t="shared" si="1"/>
        <v>2.5046088296056803</v>
      </c>
      <c r="V5" s="225">
        <f t="shared" si="1"/>
        <v>2.5035527514787397</v>
      </c>
      <c r="W5" s="225">
        <f t="shared" si="1"/>
        <v>2.2186469063714687</v>
      </c>
      <c r="X5" s="225">
        <f t="shared" si="1"/>
        <v>1.9540588262716638</v>
      </c>
      <c r="Y5" s="225">
        <f t="shared" si="1"/>
        <v>1.4796564637438596</v>
      </c>
      <c r="Z5" s="225">
        <f>Z8-Z7-Z6</f>
        <v>3.9553009063765021E-2</v>
      </c>
      <c r="AA5" s="226">
        <f t="shared" si="0"/>
        <v>-0.5</v>
      </c>
      <c r="AB5" s="225">
        <f>AB8-AB7-AB6</f>
        <v>0.60373220650298265</v>
      </c>
      <c r="AC5" s="225">
        <f>AC8-AC7-AC6</f>
        <v>0.95861331930142346</v>
      </c>
      <c r="AD5" s="227">
        <v>0.40629703165301156</v>
      </c>
      <c r="AE5" s="225">
        <f>AE8-AE7-AE6</f>
        <v>3.8182977681424122</v>
      </c>
      <c r="AF5" s="225">
        <f t="shared" ref="AF5:AO5" si="2">AF8-AF7-AF6</f>
        <v>4.0579516867595666</v>
      </c>
      <c r="AG5" s="225">
        <f t="shared" si="2"/>
        <v>3.407422022103324</v>
      </c>
      <c r="AH5" s="225">
        <f t="shared" si="2"/>
        <v>1.9058373020571171</v>
      </c>
      <c r="AI5" s="225">
        <f t="shared" si="2"/>
        <v>1.747326369047173</v>
      </c>
      <c r="AJ5" s="225">
        <f t="shared" si="2"/>
        <v>1.3026510915216516</v>
      </c>
      <c r="AK5" s="225">
        <f t="shared" si="2"/>
        <v>0.48214512628856943</v>
      </c>
      <c r="AL5" s="225">
        <f t="shared" si="2"/>
        <v>3.2508142185593059E-2</v>
      </c>
      <c r="AM5" s="225">
        <f t="shared" si="2"/>
        <v>-2.1305007194620362</v>
      </c>
      <c r="AN5" s="228">
        <f>AN8-AN7-AN6</f>
        <v>-2.7594882398449023</v>
      </c>
      <c r="AO5" s="225">
        <f t="shared" si="2"/>
        <v>2.7600022611286974</v>
      </c>
      <c r="AP5" s="225">
        <f t="shared" ref="AP5:CN5" si="3">AP8-AP7-AP6</f>
        <v>2.5430607995978147</v>
      </c>
      <c r="AQ5" s="225">
        <f t="shared" si="3"/>
        <v>0.60305320011573271</v>
      </c>
      <c r="AR5" s="225">
        <f t="shared" si="3"/>
        <v>-0.87296499507900505</v>
      </c>
      <c r="AS5" s="225">
        <f t="shared" si="3"/>
        <v>-0.73759659226594532</v>
      </c>
      <c r="AT5" s="225">
        <f t="shared" si="3"/>
        <v>-2.7388778765914208</v>
      </c>
      <c r="AU5" s="225">
        <f t="shared" si="3"/>
        <v>-2.4890598301972848</v>
      </c>
      <c r="AV5" s="225">
        <f t="shared" si="3"/>
        <v>-1.552890223069062</v>
      </c>
      <c r="AW5" s="225">
        <f t="shared" si="3"/>
        <v>-1.4585392426587456</v>
      </c>
      <c r="AX5" s="225">
        <f t="shared" si="3"/>
        <v>-2.0175396093754179</v>
      </c>
      <c r="AY5" s="225">
        <f t="shared" si="3"/>
        <v>-2.3493268360194799</v>
      </c>
      <c r="AZ5" s="225">
        <f t="shared" si="3"/>
        <v>-4.816565346108411</v>
      </c>
      <c r="BA5" s="228">
        <f t="shared" si="3"/>
        <v>-1.9648241670270785</v>
      </c>
      <c r="BB5" s="225">
        <f t="shared" si="3"/>
        <v>1.7577626448715746</v>
      </c>
      <c r="BC5" s="225">
        <f>BC8-BC7-BC6</f>
        <v>1.735042092692592</v>
      </c>
      <c r="BD5" s="225">
        <f>BD8-BD7-BD6</f>
        <v>2.0483786556538814</v>
      </c>
      <c r="BE5" s="225">
        <f>BE8-BE7-BE6</f>
        <v>2.1955627441572747</v>
      </c>
      <c r="BF5" s="225">
        <f>BF8-BF7-BF6</f>
        <v>1.9669051035017142</v>
      </c>
      <c r="BG5" s="225">
        <f t="shared" ref="BG5:BM5" si="4">BG8-BG7-BG6</f>
        <v>1.7952418957645251</v>
      </c>
      <c r="BH5" s="225">
        <f t="shared" si="4"/>
        <v>2.1521586994256219</v>
      </c>
      <c r="BI5" s="225">
        <f t="shared" si="4"/>
        <v>2.4771705514109206</v>
      </c>
      <c r="BJ5" s="225">
        <f t="shared" si="4"/>
        <v>3.7250114436689095</v>
      </c>
      <c r="BK5" s="225">
        <f t="shared" si="4"/>
        <v>3.1298626698162004</v>
      </c>
      <c r="BL5" s="225">
        <f t="shared" si="4"/>
        <v>2.2249959688410565</v>
      </c>
      <c r="BM5" s="229">
        <f t="shared" si="4"/>
        <v>-0.13294513551690279</v>
      </c>
      <c r="BN5" s="226">
        <f t="shared" si="3"/>
        <v>-4.5668499403146834</v>
      </c>
      <c r="BO5" s="229">
        <f t="shared" si="3"/>
        <v>4.9098471149741947</v>
      </c>
      <c r="BP5" s="230">
        <f t="shared" si="3"/>
        <v>4.7160341827374594</v>
      </c>
      <c r="BQ5" s="229">
        <f t="shared" si="3"/>
        <v>3.0522354136328707</v>
      </c>
      <c r="BR5" s="229">
        <f t="shared" si="3"/>
        <v>3.2886052138321573</v>
      </c>
      <c r="BS5" s="229">
        <f t="shared" si="3"/>
        <v>3.5880151207991671</v>
      </c>
      <c r="BT5" s="229">
        <f t="shared" si="3"/>
        <v>3.3755457187394069</v>
      </c>
      <c r="BU5" s="229">
        <f t="shared" si="3"/>
        <v>3.9539358840125001</v>
      </c>
      <c r="BV5" s="229">
        <f t="shared" si="3"/>
        <v>3.9041937061222423</v>
      </c>
      <c r="BW5" s="229">
        <f t="shared" si="3"/>
        <v>3.8777441712923348</v>
      </c>
      <c r="BX5" s="229">
        <f t="shared" si="3"/>
        <v>2.9021298110361258</v>
      </c>
      <c r="BY5" s="230">
        <f t="shared" si="3"/>
        <v>2.6026494811067562</v>
      </c>
      <c r="BZ5" s="231">
        <f t="shared" si="3"/>
        <v>-0.36040521137337389</v>
      </c>
      <c r="CA5" s="232">
        <v>-0.50000000000000044</v>
      </c>
      <c r="CB5" s="233">
        <f t="shared" si="3"/>
        <v>4.2866726376372215</v>
      </c>
      <c r="CC5" s="229">
        <f t="shared" si="3"/>
        <v>4.1074426242342961</v>
      </c>
      <c r="CD5" s="229">
        <f t="shared" si="3"/>
        <v>3.7647924904830048</v>
      </c>
      <c r="CE5" s="229">
        <f t="shared" si="3"/>
        <v>2.4548178611303206</v>
      </c>
      <c r="CF5" s="229">
        <f t="shared" si="3"/>
        <v>3.3140951697452938</v>
      </c>
      <c r="CG5" s="229">
        <f t="shared" si="3"/>
        <v>4.1769389441150615</v>
      </c>
      <c r="CH5" s="229">
        <f t="shared" si="3"/>
        <v>4.14250770946812</v>
      </c>
      <c r="CI5" s="229">
        <f t="shared" si="3"/>
        <v>4.2902769240058962</v>
      </c>
      <c r="CJ5" s="229">
        <f t="shared" si="3"/>
        <v>4.0440987709430445</v>
      </c>
      <c r="CK5" s="229">
        <f t="shared" si="3"/>
        <v>3.317362856400599</v>
      </c>
      <c r="CL5" s="229">
        <f t="shared" si="3"/>
        <v>2.1982115256828787</v>
      </c>
      <c r="CM5" s="229">
        <f t="shared" si="3"/>
        <v>0.35019350011475814</v>
      </c>
      <c r="CN5" s="234">
        <f t="shared" si="3"/>
        <v>-0.50000000000000011</v>
      </c>
      <c r="CO5" s="235">
        <f t="shared" ref="CO5:CZ5" si="5">CO8-CO7-CO6</f>
        <v>3.890055048657743</v>
      </c>
      <c r="CP5" s="229">
        <f>CP8-CP7-CP6</f>
        <v>3.6451851287322268</v>
      </c>
      <c r="CQ5" s="229">
        <f t="shared" si="5"/>
        <v>2.2523483531612611</v>
      </c>
      <c r="CR5" s="229">
        <f t="shared" si="5"/>
        <v>1.6567409010489511</v>
      </c>
      <c r="CS5" s="229">
        <f t="shared" si="5"/>
        <v>2.4879676468983978</v>
      </c>
      <c r="CT5" s="229">
        <f t="shared" si="5"/>
        <v>2.8755474744406433</v>
      </c>
      <c r="CU5" s="229">
        <f t="shared" si="5"/>
        <v>2.487681014500791</v>
      </c>
      <c r="CV5" s="229">
        <f t="shared" si="5"/>
        <v>2.8663567257361917</v>
      </c>
      <c r="CW5" s="229">
        <f t="shared" si="5"/>
        <v>2.3253998551005992</v>
      </c>
      <c r="CX5" s="229">
        <f t="shared" si="5"/>
        <v>1.6085553448151173</v>
      </c>
      <c r="CY5" s="229">
        <f t="shared" si="5"/>
        <v>1.093095856071169</v>
      </c>
      <c r="CZ5" s="229">
        <f t="shared" si="5"/>
        <v>-0.55305697549489574</v>
      </c>
      <c r="DA5" s="236">
        <v>-0.81657285635673305</v>
      </c>
      <c r="DB5" s="229">
        <f>DB8-DB7-DB6</f>
        <v>2.6165548454559922</v>
      </c>
      <c r="DC5" s="229">
        <f t="shared" ref="DC5:DG5" si="6">DC8-DC7-DC6</f>
        <v>3.1721092819307395</v>
      </c>
      <c r="DD5" s="229">
        <f t="shared" si="6"/>
        <v>2.2521780161851992</v>
      </c>
      <c r="DE5" s="229">
        <f t="shared" si="6"/>
        <v>1.9359902880713058</v>
      </c>
      <c r="DF5" s="229">
        <f t="shared" si="6"/>
        <v>2.6766857742800823</v>
      </c>
      <c r="DG5" s="229">
        <f t="shared" si="6"/>
        <v>2.8352897169791187</v>
      </c>
      <c r="DH5" s="229">
        <f>DH8-DH7-DH6</f>
        <v>2.3499767225009935</v>
      </c>
      <c r="DI5" s="236">
        <v>-1.4757328328969901</v>
      </c>
    </row>
    <row r="6" spans="1:114" s="237" customFormat="1" ht="15" hidden="1" customHeight="1">
      <c r="A6" s="238" t="s">
        <v>28</v>
      </c>
      <c r="B6" s="239"/>
      <c r="C6" s="239"/>
      <c r="D6" s="239"/>
      <c r="E6" s="239"/>
      <c r="F6" s="239"/>
      <c r="G6" s="239"/>
      <c r="H6" s="239"/>
      <c r="I6" s="239"/>
      <c r="J6" s="239"/>
      <c r="K6" s="239"/>
      <c r="L6" s="239"/>
      <c r="M6" s="239">
        <v>0.65812240798850952</v>
      </c>
      <c r="N6" s="240">
        <v>0.12240513447374214</v>
      </c>
      <c r="O6" s="241">
        <f>R6</f>
        <v>0.54068106648278447</v>
      </c>
      <c r="P6" s="241">
        <f>R6</f>
        <v>0.54068106648278447</v>
      </c>
      <c r="Q6" s="241">
        <f>R6</f>
        <v>0.54068106648278447</v>
      </c>
      <c r="R6" s="242">
        <v>0.54068106648278447</v>
      </c>
      <c r="S6" s="242">
        <v>0.54068106648278447</v>
      </c>
      <c r="T6" s="242">
        <v>0.54068106648278447</v>
      </c>
      <c r="U6" s="243">
        <v>0.53654684174129086</v>
      </c>
      <c r="V6" s="243">
        <v>0.53654684174129086</v>
      </c>
      <c r="W6" s="243">
        <v>0.53654684174129086</v>
      </c>
      <c r="X6" s="243">
        <v>0.53654684174129086</v>
      </c>
      <c r="Y6" s="243">
        <v>0.53654684174129086</v>
      </c>
      <c r="Z6" s="243">
        <v>0.53654684174129086</v>
      </c>
      <c r="AA6" s="240">
        <v>0.5</v>
      </c>
      <c r="AB6" s="243">
        <v>0.31481171724866819</v>
      </c>
      <c r="AC6" s="243">
        <v>0.31481171724866819</v>
      </c>
      <c r="AD6" s="243">
        <v>0.31481171724866819</v>
      </c>
      <c r="AE6" s="243">
        <v>-3.3213310160223548</v>
      </c>
      <c r="AF6" s="243">
        <v>-3.3213310160223548</v>
      </c>
      <c r="AG6" s="243">
        <v>-3.3213310160223548</v>
      </c>
      <c r="AH6" s="243">
        <v>-3</v>
      </c>
      <c r="AI6" s="243">
        <v>-3</v>
      </c>
      <c r="AJ6" s="243">
        <v>-3</v>
      </c>
      <c r="AK6" s="243">
        <v>-3</v>
      </c>
      <c r="AL6" s="243">
        <v>-3</v>
      </c>
      <c r="AM6" s="243">
        <v>-2.9160619300280768</v>
      </c>
      <c r="AN6" s="244">
        <v>-3.3213310160223548</v>
      </c>
      <c r="AO6" s="243">
        <v>-2.0324903852056884</v>
      </c>
      <c r="AP6" s="243">
        <v>-2.0324903852056884</v>
      </c>
      <c r="AQ6" s="243">
        <v>-2.0324903852056884</v>
      </c>
      <c r="AR6" s="243">
        <v>-1.1521503903347261</v>
      </c>
      <c r="AS6" s="243">
        <v>-1.1521503903347261</v>
      </c>
      <c r="AT6" s="243">
        <v>-0.15215039033472599</v>
      </c>
      <c r="AU6" s="243">
        <v>-0.15215039033472599</v>
      </c>
      <c r="AV6" s="243">
        <v>-0.99246979085259757</v>
      </c>
      <c r="AW6" s="243">
        <v>-0.99246979085259757</v>
      </c>
      <c r="AX6" s="243">
        <v>-0.99246979085259757</v>
      </c>
      <c r="AY6" s="243">
        <v>-0.99246979085259757</v>
      </c>
      <c r="AZ6" s="243">
        <v>-0.99246979085259801</v>
      </c>
      <c r="BA6" s="244">
        <v>-2.0324903852056884</v>
      </c>
      <c r="BB6" s="245">
        <v>-0.19748728145691619</v>
      </c>
      <c r="BC6" s="245">
        <v>-0.19748728145691619</v>
      </c>
      <c r="BD6" s="245">
        <v>-0.19748728145691599</v>
      </c>
      <c r="BE6" s="245">
        <v>-0.19748728145691599</v>
      </c>
      <c r="BF6" s="245">
        <v>-0.19748728145691599</v>
      </c>
      <c r="BG6" s="245">
        <v>-0.19748728145691599</v>
      </c>
      <c r="BH6" s="245">
        <v>-0.19748728145691599</v>
      </c>
      <c r="BI6" s="245">
        <v>-0.19748728145691599</v>
      </c>
      <c r="BJ6" s="246">
        <v>1.0700776944783339E-2</v>
      </c>
      <c r="BK6" s="246">
        <v>1.0700776944783339E-2</v>
      </c>
      <c r="BL6" s="246">
        <v>0.13660748357754027</v>
      </c>
      <c r="BM6" s="246">
        <v>0.13660748357754027</v>
      </c>
      <c r="BN6" s="244">
        <v>-0.19748728145691619</v>
      </c>
      <c r="BO6" s="247">
        <v>-0.78802374627226168</v>
      </c>
      <c r="BP6" s="247">
        <v>-0.78802374627226168</v>
      </c>
      <c r="BQ6" s="247">
        <v>-0.54836496937869228</v>
      </c>
      <c r="BR6" s="247">
        <v>-0.54836496937869228</v>
      </c>
      <c r="BS6" s="247">
        <v>-0.54836496937869228</v>
      </c>
      <c r="BT6" s="247">
        <v>-0.54836496937869228</v>
      </c>
      <c r="BU6" s="247">
        <v>-0.54836496937869228</v>
      </c>
      <c r="BV6" s="247">
        <v>-0.54836496937869228</v>
      </c>
      <c r="BW6" s="247">
        <v>-0.54836496937869228</v>
      </c>
      <c r="BX6" s="247">
        <v>-0.45704053788545018</v>
      </c>
      <c r="BY6" s="247">
        <v>-0.45704053788545018</v>
      </c>
      <c r="BZ6" s="239">
        <v>-0.45704053788545018</v>
      </c>
      <c r="CA6" s="248">
        <v>-0.78802374627226168</v>
      </c>
      <c r="CB6" s="247">
        <v>-0.47791875442155318</v>
      </c>
      <c r="CC6" s="247">
        <v>-0.47791875442155318</v>
      </c>
      <c r="CD6" s="247">
        <v>-0.47791875442155318</v>
      </c>
      <c r="CE6" s="247">
        <v>-0.40280090300794713</v>
      </c>
      <c r="CF6" s="247">
        <v>-0.40280090300794713</v>
      </c>
      <c r="CG6" s="247">
        <v>-0.40280090300794713</v>
      </c>
      <c r="CH6" s="247">
        <v>-0.40280090300794713</v>
      </c>
      <c r="CI6" s="247">
        <v>-0.40280090300794702</v>
      </c>
      <c r="CJ6" s="247">
        <v>-0.68675541365813209</v>
      </c>
      <c r="CK6" s="247">
        <v>-0.68675541365813209</v>
      </c>
      <c r="CL6" s="247">
        <v>-0.68675541365813209</v>
      </c>
      <c r="CM6" s="247">
        <v>-0.68675541365813209</v>
      </c>
      <c r="CN6" s="249">
        <v>-0.47791875442155318</v>
      </c>
      <c r="CO6" s="250">
        <v>-0.4301539926808372</v>
      </c>
      <c r="CP6" s="247">
        <v>-0.4301539926808372</v>
      </c>
      <c r="CQ6" s="247">
        <v>-0.58488921815615469</v>
      </c>
      <c r="CR6" s="247">
        <v>-0.58488921815615469</v>
      </c>
      <c r="CS6" s="247">
        <v>-0.58488921815615469</v>
      </c>
      <c r="CT6" s="247">
        <v>-0.58488921815615469</v>
      </c>
      <c r="CU6" s="247">
        <v>-0.58488921815615469</v>
      </c>
      <c r="CV6" s="247">
        <v>-0.58488921815615502</v>
      </c>
      <c r="CW6" s="247">
        <v>-0.49231055333438878</v>
      </c>
      <c r="CX6" s="247">
        <v>-0.49231055333438878</v>
      </c>
      <c r="CY6" s="247">
        <v>-0.49231055333438878</v>
      </c>
      <c r="CZ6" s="247">
        <v>-0.49231055333438878</v>
      </c>
      <c r="DA6" s="251">
        <v>-0.4301539926808372</v>
      </c>
      <c r="DB6" s="247">
        <v>-0.3259119424230974</v>
      </c>
      <c r="DC6" s="247">
        <v>-0.36677532229230858</v>
      </c>
      <c r="DD6" s="247">
        <v>-0.36677532229230858</v>
      </c>
      <c r="DE6" s="247">
        <v>-0.36677532229230903</v>
      </c>
      <c r="DF6" s="247">
        <v>-0.36677532229230858</v>
      </c>
      <c r="DG6" s="247">
        <v>-0.36677532229230858</v>
      </c>
      <c r="DH6" s="247">
        <v>-0.36677532229230858</v>
      </c>
      <c r="DI6" s="251">
        <v>-0.3259119424230974</v>
      </c>
    </row>
    <row r="7" spans="1:114" s="237" customFormat="1" ht="15" hidden="1" customHeight="1">
      <c r="A7" s="238" t="s">
        <v>27</v>
      </c>
      <c r="B7" s="239"/>
      <c r="C7" s="239"/>
      <c r="D7" s="239"/>
      <c r="E7" s="239"/>
      <c r="F7" s="239"/>
      <c r="G7" s="239"/>
      <c r="H7" s="239"/>
      <c r="I7" s="239"/>
      <c r="J7" s="239"/>
      <c r="K7" s="239"/>
      <c r="L7" s="239"/>
      <c r="M7" s="239">
        <v>9.9498006033112863E-3</v>
      </c>
      <c r="N7" s="240">
        <v>9.9498006033112863E-3</v>
      </c>
      <c r="O7" s="242">
        <f>R7</f>
        <v>-0.5</v>
      </c>
      <c r="P7" s="241">
        <f>R7</f>
        <v>-0.5</v>
      </c>
      <c r="Q7" s="241">
        <f>R7</f>
        <v>-0.5</v>
      </c>
      <c r="R7" s="241">
        <v>-0.5</v>
      </c>
      <c r="S7" s="241">
        <v>-0.5</v>
      </c>
      <c r="T7" s="241">
        <v>-0.5</v>
      </c>
      <c r="U7" s="252">
        <v>-0.45280787076751</v>
      </c>
      <c r="V7" s="252">
        <v>-0.45280787076751</v>
      </c>
      <c r="W7" s="252">
        <v>-0.45280787076751</v>
      </c>
      <c r="X7" s="252">
        <v>-0.45280787076751</v>
      </c>
      <c r="Y7" s="252">
        <v>-0.45280787076751</v>
      </c>
      <c r="Z7" s="252">
        <v>-0.45280787076751</v>
      </c>
      <c r="AA7" s="240">
        <v>-0.5</v>
      </c>
      <c r="AB7" s="252">
        <v>-0.28547987063360686</v>
      </c>
      <c r="AC7" s="252">
        <v>-0.28547987063360686</v>
      </c>
      <c r="AD7" s="252">
        <v>-0.28547987063360686</v>
      </c>
      <c r="AE7" s="252">
        <v>-0.28547987063360686</v>
      </c>
      <c r="AF7" s="252">
        <v>-0.28547987063360686</v>
      </c>
      <c r="AG7" s="252">
        <v>-0.28547987063360686</v>
      </c>
      <c r="AH7" s="252">
        <v>-0.12</v>
      </c>
      <c r="AI7" s="252">
        <v>-0.12</v>
      </c>
      <c r="AJ7" s="252">
        <v>-0.12</v>
      </c>
      <c r="AK7" s="252">
        <v>-0.12</v>
      </c>
      <c r="AL7" s="252">
        <v>-0.12</v>
      </c>
      <c r="AM7" s="252">
        <v>-0.12</v>
      </c>
      <c r="AN7" s="253">
        <v>-3.3282420314087</v>
      </c>
      <c r="AO7" s="252">
        <v>5.0455901641074136E-2</v>
      </c>
      <c r="AP7" s="252">
        <v>5.0455901641074136E-2</v>
      </c>
      <c r="AQ7" s="252">
        <v>5.0455901641074136E-2</v>
      </c>
      <c r="AR7" s="252">
        <v>0</v>
      </c>
      <c r="AS7" s="252">
        <v>0</v>
      </c>
      <c r="AT7" s="252">
        <v>0</v>
      </c>
      <c r="AU7" s="252">
        <v>0</v>
      </c>
      <c r="AV7" s="252">
        <v>0</v>
      </c>
      <c r="AW7" s="252">
        <v>0</v>
      </c>
      <c r="AX7" s="252">
        <v>0</v>
      </c>
      <c r="AY7" s="252">
        <v>0</v>
      </c>
      <c r="AZ7" s="252">
        <v>0</v>
      </c>
      <c r="BA7" s="253">
        <v>5.0455901641074136E-2</v>
      </c>
      <c r="BB7" s="254">
        <v>0</v>
      </c>
      <c r="BC7" s="254">
        <v>0</v>
      </c>
      <c r="BD7" s="254">
        <v>-2.7835790792845811</v>
      </c>
      <c r="BE7" s="254">
        <v>-2.7835790792845811</v>
      </c>
      <c r="BF7" s="254">
        <v>-2.7835790792845798</v>
      </c>
      <c r="BG7" s="254">
        <v>-2.7835790792845798</v>
      </c>
      <c r="BH7" s="254">
        <v>-2.7835790792845798</v>
      </c>
      <c r="BI7" s="254">
        <v>-2.7835790792845798</v>
      </c>
      <c r="BJ7" s="255">
        <v>-5.2114425482584288</v>
      </c>
      <c r="BK7" s="255">
        <v>-5.2114425482584288</v>
      </c>
      <c r="BL7" s="255">
        <v>-4.9205314543161895</v>
      </c>
      <c r="BM7" s="255">
        <v>-4.9205314543161895</v>
      </c>
      <c r="BN7" s="253">
        <v>0</v>
      </c>
      <c r="BO7" s="247">
        <v>-2.9708895409886709</v>
      </c>
      <c r="BP7" s="247">
        <v>-2.9708895409886709</v>
      </c>
      <c r="BQ7" s="247">
        <v>-2.995378348464881</v>
      </c>
      <c r="BR7" s="247">
        <v>-2.995378348464881</v>
      </c>
      <c r="BS7" s="247">
        <v>-2.995378348464881</v>
      </c>
      <c r="BT7" s="247">
        <v>-2.995378348464881</v>
      </c>
      <c r="BU7" s="247">
        <v>-2.995378348464881</v>
      </c>
      <c r="BV7" s="247">
        <v>-2.995378348464881</v>
      </c>
      <c r="BW7" s="247">
        <v>-2.995378348464881</v>
      </c>
      <c r="BX7" s="247">
        <v>-2.4572938888662512</v>
      </c>
      <c r="BY7" s="247">
        <v>-2.4572938888662512</v>
      </c>
      <c r="BZ7" s="239">
        <v>-2.4572938888662512</v>
      </c>
      <c r="CA7" s="248">
        <v>-2.9708895409886709</v>
      </c>
      <c r="CB7" s="247">
        <v>-1.9489554971856202</v>
      </c>
      <c r="CC7" s="247">
        <v>-1.9489554971856202</v>
      </c>
      <c r="CD7" s="247">
        <v>-1.9489554971856202</v>
      </c>
      <c r="CE7" s="247">
        <v>-1.6507712450089362</v>
      </c>
      <c r="CF7" s="247">
        <v>-1.6507712450089362</v>
      </c>
      <c r="CG7" s="247">
        <v>-1.6507712450089362</v>
      </c>
      <c r="CH7" s="247">
        <v>-1.6507712450089362</v>
      </c>
      <c r="CI7" s="247">
        <v>-1.65077124500894</v>
      </c>
      <c r="CJ7" s="247">
        <v>-1.6749241399898953</v>
      </c>
      <c r="CK7" s="247">
        <v>-1.6749241399898953</v>
      </c>
      <c r="CL7" s="247">
        <v>-1.7534003648267071</v>
      </c>
      <c r="CM7" s="247">
        <v>-1.7534003648267071</v>
      </c>
      <c r="CN7" s="249">
        <v>-1.9489554971856202</v>
      </c>
      <c r="CO7" s="250">
        <v>-1.74389165563438</v>
      </c>
      <c r="CP7" s="247">
        <v>-1.74389165563438</v>
      </c>
      <c r="CQ7" s="247">
        <v>-1.8042794471669146</v>
      </c>
      <c r="CR7" s="247">
        <v>-1.8042794471669146</v>
      </c>
      <c r="CS7" s="247">
        <v>-1.8042794471669146</v>
      </c>
      <c r="CT7" s="247">
        <v>-1.8042794471669146</v>
      </c>
      <c r="CU7" s="247">
        <v>-1.8042794471669146</v>
      </c>
      <c r="CV7" s="247">
        <v>-1.8042794471669099</v>
      </c>
      <c r="CW7" s="247">
        <v>-1.8220847201865769</v>
      </c>
      <c r="CX7" s="247">
        <v>-1.8220847201865769</v>
      </c>
      <c r="CY7" s="247">
        <v>-1.8220847201865769</v>
      </c>
      <c r="CZ7" s="247">
        <v>-1.8220847201865769</v>
      </c>
      <c r="DA7" s="251">
        <v>-1.74389165563438</v>
      </c>
      <c r="DB7" s="247">
        <v>-1.6368247157091589</v>
      </c>
      <c r="DC7" s="247">
        <v>-1.7938643382178394</v>
      </c>
      <c r="DD7" s="247">
        <v>-1.7938643382178394</v>
      </c>
      <c r="DE7" s="247">
        <v>-1.7938643382178401</v>
      </c>
      <c r="DF7" s="247">
        <v>-1.7938643382178394</v>
      </c>
      <c r="DG7" s="247">
        <v>-1.7938643382178394</v>
      </c>
      <c r="DH7" s="247">
        <v>-1.7938643382178394</v>
      </c>
      <c r="DI7" s="251">
        <v>-1.6368247157091589</v>
      </c>
    </row>
    <row r="8" spans="1:114" s="237" customFormat="1" ht="15" hidden="1" customHeight="1">
      <c r="A8" s="256" t="s">
        <v>26</v>
      </c>
      <c r="B8" s="257"/>
      <c r="C8" s="257"/>
      <c r="D8" s="257"/>
      <c r="E8" s="257"/>
      <c r="F8" s="257"/>
      <c r="G8" s="257"/>
      <c r="H8" s="257"/>
      <c r="I8" s="257"/>
      <c r="J8" s="257"/>
      <c r="K8" s="257"/>
      <c r="L8" s="257"/>
      <c r="M8" s="257">
        <v>-1.0009999999999999</v>
      </c>
      <c r="N8" s="226">
        <f>N9/28359362.2877319*100</f>
        <v>-0.93564744192501159</v>
      </c>
      <c r="O8" s="258">
        <v>1.7908830311743253E-2</v>
      </c>
      <c r="P8" s="258">
        <v>0.38886106376749663</v>
      </c>
      <c r="Q8" s="258">
        <v>0.10997444467519771</v>
      </c>
      <c r="R8" s="258">
        <v>0.3566934367364259</v>
      </c>
      <c r="S8" s="258">
        <v>1.1795828043113366</v>
      </c>
      <c r="T8" s="258">
        <v>1.7413783675764141</v>
      </c>
      <c r="U8" s="258">
        <v>2.5883478005794611</v>
      </c>
      <c r="V8" s="258">
        <v>2.5872917224525205</v>
      </c>
      <c r="W8" s="258">
        <v>2.3023858773452495</v>
      </c>
      <c r="X8" s="258">
        <v>2.0377977972454446</v>
      </c>
      <c r="Y8" s="258">
        <v>1.5633954347176404</v>
      </c>
      <c r="Z8" s="258">
        <v>0.12329198003754591</v>
      </c>
      <c r="AA8" s="226">
        <v>-0.5</v>
      </c>
      <c r="AB8" s="259">
        <f>AB9/'2'!B416*100</f>
        <v>0.63306405311804392</v>
      </c>
      <c r="AC8" s="259">
        <f>AC9/'2'!B416*100</f>
        <v>0.98794516591648485</v>
      </c>
      <c r="AD8" s="259">
        <f>AD9/'2'!B416*100</f>
        <v>0.4942058513588225</v>
      </c>
      <c r="AE8" s="259">
        <f>AE9/'2'!B416*100</f>
        <v>0.21148688148645045</v>
      </c>
      <c r="AF8" s="259">
        <f>AF9/'2'!B416*100</f>
        <v>0.45114080010360497</v>
      </c>
      <c r="AG8" s="259">
        <f>AG9/'2'!B416*100</f>
        <v>-0.1993888645526376</v>
      </c>
      <c r="AH8" s="259">
        <f>AH9/'2'!B416*100</f>
        <v>-1.2141626979428828</v>
      </c>
      <c r="AI8" s="259">
        <f>AI9/'2'!B416*100</f>
        <v>-1.3726736309528271</v>
      </c>
      <c r="AJ8" s="259">
        <f>AJ9/'2'!$B416*100</f>
        <v>-1.8173489084783483</v>
      </c>
      <c r="AK8" s="259">
        <f>AK9/'2'!$B416*100</f>
        <v>-2.6378548737114307</v>
      </c>
      <c r="AL8" s="259">
        <f>AL9/'2'!B416*100</f>
        <v>-3.087491857814407</v>
      </c>
      <c r="AM8" s="259">
        <f>AM9/'2'!$B416*100</f>
        <v>-5.1665626494901131</v>
      </c>
      <c r="AN8" s="228">
        <v>-9.4090612872759571</v>
      </c>
      <c r="AO8" s="259">
        <f>AO9/'2'!$C416*100</f>
        <v>0.77796777756408342</v>
      </c>
      <c r="AP8" s="259">
        <f>AP9/'2'!$C416*100</f>
        <v>0.56102631603320063</v>
      </c>
      <c r="AQ8" s="259">
        <f>AQ9/'2'!$C416*100</f>
        <v>-1.3789812834488815</v>
      </c>
      <c r="AR8" s="259">
        <f>AR9/'2'!$C416*100</f>
        <v>-2.0251153854137312</v>
      </c>
      <c r="AS8" s="259">
        <f>AS9/'2'!$C416*100</f>
        <v>-1.8897469826006714</v>
      </c>
      <c r="AT8" s="259">
        <f>AT9/'2'!$C416*100</f>
        <v>-2.8910282669261469</v>
      </c>
      <c r="AU8" s="259">
        <f>AU9/'2'!$C416*100</f>
        <v>-2.6412102205320109</v>
      </c>
      <c r="AV8" s="259">
        <f>AV9/'2'!$C416*100</f>
        <v>-2.5453600139216594</v>
      </c>
      <c r="AW8" s="259">
        <f>AW9/'2'!$C416*100</f>
        <v>-2.451009033511343</v>
      </c>
      <c r="AX8" s="259">
        <f>AX9/'2'!$C416*100</f>
        <v>-3.0100094002280153</v>
      </c>
      <c r="AY8" s="259">
        <f>AY9/'2'!$C416*100</f>
        <v>-3.3417966268720773</v>
      </c>
      <c r="AZ8" s="259">
        <f>AZ9/'2'!$C416*100</f>
        <v>-5.8090351369610094</v>
      </c>
      <c r="BA8" s="228">
        <v>-3.9468586505916927</v>
      </c>
      <c r="BB8" s="259">
        <f>BB9/'2'!$E416*100</f>
        <v>1.5602753634146584</v>
      </c>
      <c r="BC8" s="259">
        <f>BC9/'2'!$E416*100</f>
        <v>1.5375548112356758</v>
      </c>
      <c r="BD8" s="259">
        <f>BD9/'2'!$E416*100</f>
        <v>-0.932687705087616</v>
      </c>
      <c r="BE8" s="259">
        <f>BE9/'2'!$E416*100</f>
        <v>-0.78550361658422241</v>
      </c>
      <c r="BF8" s="259">
        <f>BF9/'2'!$E416*100</f>
        <v>-1.0141612572397816</v>
      </c>
      <c r="BG8" s="259">
        <f>BG9/'2'!$E416*100</f>
        <v>-1.1858244649769707</v>
      </c>
      <c r="BH8" s="259">
        <f>BH9/'2'!$E416*100</f>
        <v>-0.8289076613158739</v>
      </c>
      <c r="BI8" s="259">
        <f>BI9/'2'!$E416*100</f>
        <v>-0.50389580933057565</v>
      </c>
      <c r="BJ8" s="259">
        <f>BJ9/'2'!$E416*100</f>
        <v>-1.475730327644736</v>
      </c>
      <c r="BK8" s="259">
        <f>BK9/'2'!$E416*100</f>
        <v>-2.0708791014974448</v>
      </c>
      <c r="BL8" s="259">
        <f>BL9/'2'!$E416*100</f>
        <v>-2.5589280018975926</v>
      </c>
      <c r="BM8" s="259">
        <f>BM9/'2'!$E416*100</f>
        <v>-4.9168691062555521</v>
      </c>
      <c r="BN8" s="228">
        <v>-4.7643372217715996</v>
      </c>
      <c r="BO8" s="227">
        <f>BO9/'2'!$G416*100</f>
        <v>1.1509338277132621</v>
      </c>
      <c r="BP8" s="260">
        <f>BP9/'2'!$G416*100</f>
        <v>0.95712089547652746</v>
      </c>
      <c r="BQ8" s="227">
        <f>BQ9/'2'!$G416*100</f>
        <v>-0.49150790421070273</v>
      </c>
      <c r="BR8" s="227">
        <f>BR9/'2'!$G416*100</f>
        <v>-0.25513810401141601</v>
      </c>
      <c r="BS8" s="227">
        <f>BS9/'2'!$G416*100</f>
        <v>4.4271802955593763E-2</v>
      </c>
      <c r="BT8" s="261">
        <f>BT9/'2'!$G416*100</f>
        <v>-0.16819759910416629</v>
      </c>
      <c r="BU8" s="227">
        <f>BU9/'2'!$G416*100</f>
        <v>0.41019256616892663</v>
      </c>
      <c r="BV8" s="227">
        <f>BV9/'2'!$G416*100</f>
        <v>0.3604503882786691</v>
      </c>
      <c r="BW8" s="227">
        <f>BW9/'2'!$G416*100</f>
        <v>0.33400085344876168</v>
      </c>
      <c r="BX8" s="262">
        <f>BX9/'2'!$G416*100</f>
        <v>-1.2204615715575559E-2</v>
      </c>
      <c r="BY8" s="263">
        <f>BY9/'2'!$G416*100</f>
        <v>-0.31168494564494509</v>
      </c>
      <c r="BZ8" s="225">
        <f>BZ9/'2'!$G416*100</f>
        <v>-3.2747396381250753</v>
      </c>
      <c r="CA8" s="264">
        <v>-4.258913287260933</v>
      </c>
      <c r="CB8" s="265">
        <f>CB9/'2'!$I$416*100</f>
        <v>1.8597983860300482</v>
      </c>
      <c r="CC8" s="266">
        <f>CC9/'2'!$I$416*100</f>
        <v>1.6805683726271226</v>
      </c>
      <c r="CD8" s="266">
        <f>CD9/'2'!$I$416*100</f>
        <v>1.3379182388758315</v>
      </c>
      <c r="CE8" s="266">
        <f>CE9/'2'!$I$416*100</f>
        <v>0.40124571311343715</v>
      </c>
      <c r="CF8" s="266">
        <f>CF9/'2'!$I$416*100</f>
        <v>1.2605230217284105</v>
      </c>
      <c r="CG8" s="266">
        <f>CG9/'2'!$I$416*100</f>
        <v>2.1233667960981775</v>
      </c>
      <c r="CH8" s="266">
        <f>CH9/'2'!$I$416*100</f>
        <v>2.0889355614512364</v>
      </c>
      <c r="CI8" s="266">
        <f>CI9/'2'!$I$416*100</f>
        <v>2.2367047759890091</v>
      </c>
      <c r="CJ8" s="266">
        <f>CJ9/'2'!$I$416*100</f>
        <v>1.6824192172950165</v>
      </c>
      <c r="CK8" s="266">
        <f>CK9/'2'!$I$416*100</f>
        <v>0.95568330275257185</v>
      </c>
      <c r="CL8" s="266">
        <f>CL9/'2'!$I$416*100</f>
        <v>-0.24194425280196033</v>
      </c>
      <c r="CM8" s="266">
        <f>CM9/'2'!$I$416*100</f>
        <v>-2.0899622783700811</v>
      </c>
      <c r="CN8" s="234">
        <v>-2.9268742516071735</v>
      </c>
      <c r="CO8" s="267">
        <f>CO9/'2'!$J$416*100</f>
        <v>1.7160094003425257</v>
      </c>
      <c r="CP8" s="266">
        <f>CP9/'2'!$J$416*100</f>
        <v>1.4711394804170097</v>
      </c>
      <c r="CQ8" s="266">
        <f>CQ9/'2'!$J$416*100</f>
        <v>-0.13682031216180809</v>
      </c>
      <c r="CR8" s="266">
        <f>CR9/'2'!$J$416*100</f>
        <v>-0.73242776427411815</v>
      </c>
      <c r="CS8" s="266">
        <f>CS9/'2'!$J$416*100</f>
        <v>9.8798981575328487E-2</v>
      </c>
      <c r="CT8" s="266">
        <f>CT9/'2'!$J$416*100</f>
        <v>0.48637880911757364</v>
      </c>
      <c r="CU8" s="266">
        <f>CU9/'2'!$J$416*100</f>
        <v>9.8512349177721684E-2</v>
      </c>
      <c r="CV8" s="266">
        <f>CV9/'2'!$J$416*100</f>
        <v>0.47718806041312711</v>
      </c>
      <c r="CW8" s="266">
        <f>CW9/'2'!$J$416*100</f>
        <v>1.1004581579633679E-2</v>
      </c>
      <c r="CX8" s="266">
        <f>CX9/'2'!$J$416*100</f>
        <v>-0.70583992870584822</v>
      </c>
      <c r="CY8" s="266">
        <f>CY9/'2'!$J$416*100</f>
        <v>-1.2212994174497966</v>
      </c>
      <c r="CZ8" s="266">
        <f>CZ9/'2'!$J$416*100</f>
        <v>-2.8674522490158614</v>
      </c>
      <c r="DA8" s="236">
        <v>-2.8906415353305168</v>
      </c>
      <c r="DB8" s="266">
        <f>DB9/'2'!$K$416*100</f>
        <v>0.65381818732373587</v>
      </c>
      <c r="DC8" s="266">
        <f>DC9/'2'!$K$416*100</f>
        <v>1.0114696214205914</v>
      </c>
      <c r="DD8" s="266">
        <f>DD9/'2'!$K$416*100</f>
        <v>9.1538355675051031E-2</v>
      </c>
      <c r="DE8" s="266">
        <f>DE9/'2'!$K$416*100</f>
        <v>-0.22464937243884328</v>
      </c>
      <c r="DF8" s="266">
        <f>DF9/'2'!$K$416*100</f>
        <v>0.51604611376993414</v>
      </c>
      <c r="DG8" s="266">
        <f>DG9/'2'!$K$416*100</f>
        <v>0.67465005646897092</v>
      </c>
      <c r="DH8" s="266">
        <f>DH9/'2'!$K$416*100</f>
        <v>0.18933706199084549</v>
      </c>
      <c r="DI8" s="236">
        <f>DI9/'2'!$K$416*100</f>
        <v>-3.2219250889162385</v>
      </c>
    </row>
    <row r="9" spans="1:114" s="237" customFormat="1" ht="15" hidden="1" customHeight="1">
      <c r="A9" s="268" t="s">
        <v>25</v>
      </c>
      <c r="B9" s="269"/>
      <c r="C9" s="269"/>
      <c r="D9" s="269"/>
      <c r="E9" s="269"/>
      <c r="F9" s="269"/>
      <c r="G9" s="269"/>
      <c r="H9" s="269"/>
      <c r="I9" s="269"/>
      <c r="J9" s="269"/>
      <c r="K9" s="269"/>
      <c r="L9" s="269"/>
      <c r="M9" s="269">
        <v>-295406</v>
      </c>
      <c r="N9" s="270">
        <f t="shared" ref="N9:Y9" si="7">N11+N10</f>
        <v>-265343.64779140998</v>
      </c>
      <c r="O9" s="271">
        <f t="shared" si="7"/>
        <v>5253.3769999999786</v>
      </c>
      <c r="P9" s="269">
        <f t="shared" si="7"/>
        <v>114068.52000000002</v>
      </c>
      <c r="Q9" s="269">
        <f t="shared" si="7"/>
        <v>32259.908000000287</v>
      </c>
      <c r="R9" s="269">
        <f t="shared" si="7"/>
        <v>104632.46700000064</v>
      </c>
      <c r="S9" s="269">
        <f t="shared" si="7"/>
        <v>346018.86699999962</v>
      </c>
      <c r="T9" s="269">
        <f t="shared" si="7"/>
        <v>510816</v>
      </c>
      <c r="U9" s="269">
        <f t="shared" si="7"/>
        <v>759266.04735589121</v>
      </c>
      <c r="V9" s="269">
        <f t="shared" si="7"/>
        <v>758956.25735589117</v>
      </c>
      <c r="W9" s="269">
        <f t="shared" si="7"/>
        <v>675381.96535589057</v>
      </c>
      <c r="X9" s="269">
        <f t="shared" si="7"/>
        <v>597767.68735589064</v>
      </c>
      <c r="Y9" s="269">
        <f t="shared" si="7"/>
        <v>458606.47935589001</v>
      </c>
      <c r="Z9" s="269">
        <f>Z11+Z10</f>
        <v>36166.474355892919</v>
      </c>
      <c r="AA9" s="270">
        <v>-168600</v>
      </c>
      <c r="AB9" s="269">
        <f>AB11+AB10</f>
        <v>185008.79130099775</v>
      </c>
      <c r="AC9" s="269">
        <f>AC11+AC10</f>
        <v>288720.45430099766</v>
      </c>
      <c r="AD9" s="272">
        <v>144428.39830099689</v>
      </c>
      <c r="AE9" s="269">
        <f t="shared" ref="AE9:AN9" si="8">AE11+AE10</f>
        <v>61805.645300997334</v>
      </c>
      <c r="AF9" s="269">
        <f t="shared" si="8"/>
        <v>131842.92130099787</v>
      </c>
      <c r="AG9" s="269">
        <f t="shared" si="8"/>
        <v>-58270.079699002294</v>
      </c>
      <c r="AH9" s="269">
        <f t="shared" si="8"/>
        <v>-354831.03500000108</v>
      </c>
      <c r="AI9" s="269">
        <f t="shared" si="8"/>
        <v>-401154.80899999943</v>
      </c>
      <c r="AJ9" s="269">
        <f t="shared" si="8"/>
        <v>-531108.22400000133</v>
      </c>
      <c r="AK9" s="269">
        <f t="shared" si="8"/>
        <v>-770895.67699999921</v>
      </c>
      <c r="AL9" s="269">
        <f t="shared" si="8"/>
        <v>-902299.11799999885</v>
      </c>
      <c r="AM9" s="269">
        <f t="shared" si="8"/>
        <v>-1509893.834999999</v>
      </c>
      <c r="AN9" s="270">
        <f t="shared" si="8"/>
        <v>-111251.96103110429</v>
      </c>
      <c r="AO9" s="269">
        <f t="shared" ref="AO9:AV9" si="9">AO11+AO10</f>
        <v>251157.39800000028</v>
      </c>
      <c r="AP9" s="269">
        <f t="shared" si="9"/>
        <v>181120.49600000004</v>
      </c>
      <c r="AQ9" s="269">
        <f t="shared" si="9"/>
        <v>-445187.27000000048</v>
      </c>
      <c r="AR9" s="269">
        <f t="shared" si="9"/>
        <v>-653783.77552196721</v>
      </c>
      <c r="AS9" s="269">
        <f t="shared" si="9"/>
        <v>-610081.73952196923</v>
      </c>
      <c r="AT9" s="269">
        <f t="shared" si="9"/>
        <v>-933333.17652196728</v>
      </c>
      <c r="AU9" s="269">
        <f>AU11+AU10</f>
        <v>-852682.47052196704</v>
      </c>
      <c r="AV9" s="269">
        <f t="shared" si="9"/>
        <v>-821738.40164883784</v>
      </c>
      <c r="AW9" s="269">
        <f t="shared" ref="AW9:BF9" si="10">AW11+AW10</f>
        <v>-791278.33964883792</v>
      </c>
      <c r="AX9" s="269">
        <f t="shared" si="10"/>
        <v>-971744.78264883789</v>
      </c>
      <c r="AY9" s="269">
        <f t="shared" si="10"/>
        <v>-1078858.2376488361</v>
      </c>
      <c r="AZ9" s="269">
        <f t="shared" si="10"/>
        <v>-1875376.0656488396</v>
      </c>
      <c r="BA9" s="270">
        <f t="shared" si="10"/>
        <v>-1185032.6436968893</v>
      </c>
      <c r="BB9" s="269">
        <f t="shared" si="10"/>
        <v>563316.44985997817</v>
      </c>
      <c r="BC9" s="269">
        <f t="shared" si="10"/>
        <v>555113.49985997775</v>
      </c>
      <c r="BD9" s="269">
        <f t="shared" si="10"/>
        <v>-336734.36059912737</v>
      </c>
      <c r="BE9" s="269">
        <f t="shared" si="10"/>
        <v>-283595.52359912661</v>
      </c>
      <c r="BF9" s="269">
        <f t="shared" si="10"/>
        <v>-366149.29159912583</v>
      </c>
      <c r="BG9" s="269">
        <f t="shared" ref="BG9:BM9" si="11">BG11+BG10</f>
        <v>-428125.98559912597</v>
      </c>
      <c r="BH9" s="269">
        <f t="shared" si="11"/>
        <v>-299265.97059912817</v>
      </c>
      <c r="BI9" s="269">
        <f t="shared" si="11"/>
        <v>-181924.80959912692</v>
      </c>
      <c r="BJ9" s="269">
        <f t="shared" si="11"/>
        <v>-532792.6009805284</v>
      </c>
      <c r="BK9" s="269">
        <f>BK11+BK10</f>
        <v>-747663.06698052841</v>
      </c>
      <c r="BL9" s="269">
        <f t="shared" si="11"/>
        <v>-923866.5630927803</v>
      </c>
      <c r="BM9" s="269">
        <f t="shared" si="11"/>
        <v>-1775169.5080927787</v>
      </c>
      <c r="BN9" s="270">
        <f>BN11+BN10</f>
        <v>-1620911.8272229403</v>
      </c>
      <c r="BO9" s="269">
        <f t="shared" ref="BO9:CN9" si="12">BO11+BO10</f>
        <v>449698.42417451367</v>
      </c>
      <c r="BP9" s="269">
        <f t="shared" si="12"/>
        <v>373970.89917451399</v>
      </c>
      <c r="BQ9" s="269">
        <f t="shared" si="12"/>
        <v>-192044.34231638312</v>
      </c>
      <c r="BR9" s="269">
        <f t="shared" si="12"/>
        <v>-99688.792316382838</v>
      </c>
      <c r="BS9" s="269">
        <f t="shared" si="12"/>
        <v>17298.09268361787</v>
      </c>
      <c r="BT9" s="269">
        <f t="shared" si="12"/>
        <v>-65718.978316383524</v>
      </c>
      <c r="BU9" s="269">
        <f t="shared" si="12"/>
        <v>160272.42068361762</v>
      </c>
      <c r="BV9" s="269">
        <f t="shared" si="12"/>
        <v>140836.91668361696</v>
      </c>
      <c r="BW9" s="269">
        <f t="shared" si="12"/>
        <v>130502.42668362233</v>
      </c>
      <c r="BX9" s="269">
        <f t="shared" si="12"/>
        <v>-4768.6464006835886</v>
      </c>
      <c r="BY9" s="273">
        <f t="shared" si="12"/>
        <v>-121783.0474006804</v>
      </c>
      <c r="BZ9" s="269">
        <f t="shared" si="12"/>
        <v>-1279522.0884006815</v>
      </c>
      <c r="CA9" s="274">
        <v>-1772387.168215208</v>
      </c>
      <c r="CB9" s="275">
        <f t="shared" si="12"/>
        <v>756051.15404780279</v>
      </c>
      <c r="CC9" s="269">
        <f t="shared" si="12"/>
        <v>683189.99904780276</v>
      </c>
      <c r="CD9" s="269">
        <f t="shared" si="12"/>
        <v>543894.77704780269</v>
      </c>
      <c r="CE9" s="269">
        <f t="shared" si="12"/>
        <v>163115.68325624216</v>
      </c>
      <c r="CF9" s="269">
        <f t="shared" ref="CF9:CM9" si="13">CF11+CF10</f>
        <v>512431.82725624251</v>
      </c>
      <c r="CG9" s="269">
        <f t="shared" si="13"/>
        <v>863197.82225624262</v>
      </c>
      <c r="CH9" s="269">
        <f t="shared" si="13"/>
        <v>849200.72725624195</v>
      </c>
      <c r="CI9" s="269">
        <f t="shared" si="13"/>
        <v>909272.33825623966</v>
      </c>
      <c r="CJ9" s="269">
        <f t="shared" si="13"/>
        <v>683942.41030788119</v>
      </c>
      <c r="CK9" s="269">
        <f t="shared" si="13"/>
        <v>388507.41530787828</v>
      </c>
      <c r="CL9" s="269">
        <f t="shared" si="13"/>
        <v>-98355.947031776828</v>
      </c>
      <c r="CM9" s="269">
        <f t="shared" si="13"/>
        <v>-849618.11148305063</v>
      </c>
      <c r="CN9" s="276">
        <f t="shared" si="12"/>
        <v>-1279658.3315528207</v>
      </c>
      <c r="CO9" s="277">
        <f t="shared" ref="CO9:DI9" si="14">CO11+CO10</f>
        <v>738333.46500923578</v>
      </c>
      <c r="CP9" s="269">
        <f t="shared" si="14"/>
        <v>632975.26800923538</v>
      </c>
      <c r="CQ9" s="269">
        <f t="shared" si="14"/>
        <v>-58868.567469332658</v>
      </c>
      <c r="CR9" s="269">
        <f t="shared" si="14"/>
        <v>-315135.76146933419</v>
      </c>
      <c r="CS9" s="269">
        <f t="shared" si="14"/>
        <v>42509.437530665833</v>
      </c>
      <c r="CT9" s="269">
        <f t="shared" si="14"/>
        <v>209270.27053066454</v>
      </c>
      <c r="CU9" s="269">
        <f t="shared" si="14"/>
        <v>42386.110530669976</v>
      </c>
      <c r="CV9" s="269">
        <f t="shared" si="14"/>
        <v>205315.84153066686</v>
      </c>
      <c r="CW9" s="269">
        <f t="shared" si="14"/>
        <v>4734.8521791581879</v>
      </c>
      <c r="CX9" s="269">
        <f t="shared" si="14"/>
        <v>-303696.0288208428</v>
      </c>
      <c r="CY9" s="269">
        <f>CY11+CY10</f>
        <v>-525478.60782084265</v>
      </c>
      <c r="CZ9" s="269">
        <f>CZ11+CZ10</f>
        <v>-1233755.4528208377</v>
      </c>
      <c r="DA9" s="278">
        <f t="shared" si="14"/>
        <v>-1282827.3611314134</v>
      </c>
      <c r="DB9" s="269">
        <f>DB11+DB10</f>
        <v>297737.50523381663</v>
      </c>
      <c r="DC9" s="269">
        <f t="shared" ref="DC9:DG9" si="15">DC11+DC10</f>
        <v>460605.78849031805</v>
      </c>
      <c r="DD9" s="269">
        <f t="shared" si="15"/>
        <v>41684.985490317282</v>
      </c>
      <c r="DE9" s="269">
        <f t="shared" si="15"/>
        <v>-102301.44250968209</v>
      </c>
      <c r="DF9" s="269">
        <f t="shared" si="15"/>
        <v>234998.48349031789</v>
      </c>
      <c r="DG9" s="269">
        <f t="shared" si="15"/>
        <v>307223.97849031613</v>
      </c>
      <c r="DH9" s="269">
        <f>DH11+DH10</f>
        <v>86220.826490319159</v>
      </c>
      <c r="DI9" s="278">
        <f t="shared" si="14"/>
        <v>-1467209.0141003917</v>
      </c>
    </row>
    <row r="10" spans="1:114" s="237" customFormat="1" ht="14.25" hidden="1" customHeight="1">
      <c r="A10" s="268" t="s">
        <v>24</v>
      </c>
      <c r="B10" s="269"/>
      <c r="C10" s="269"/>
      <c r="D10" s="269"/>
      <c r="E10" s="269"/>
      <c r="F10" s="269"/>
      <c r="G10" s="269"/>
      <c r="H10" s="269"/>
      <c r="I10" s="269"/>
      <c r="J10" s="269"/>
      <c r="K10" s="269"/>
      <c r="L10" s="269"/>
      <c r="M10" s="269">
        <v>16181</v>
      </c>
      <c r="N10" s="270">
        <v>-101643.64779141</v>
      </c>
      <c r="O10" s="269">
        <f>R10</f>
        <v>-168395</v>
      </c>
      <c r="P10" s="269">
        <f>R10</f>
        <v>-168395</v>
      </c>
      <c r="Q10" s="269">
        <f>R10</f>
        <v>-168395</v>
      </c>
      <c r="R10" s="269">
        <v>-168395</v>
      </c>
      <c r="S10" s="269">
        <v>-168395</v>
      </c>
      <c r="T10" s="269">
        <v>-168395</v>
      </c>
      <c r="U10" s="272">
        <v>162108.72235589099</v>
      </c>
      <c r="V10" s="272">
        <v>162108.72235589099</v>
      </c>
      <c r="W10" s="272">
        <v>153782.45135589101</v>
      </c>
      <c r="X10" s="272">
        <v>153782.45135589101</v>
      </c>
      <c r="Y10" s="272">
        <v>153782.45135589101</v>
      </c>
      <c r="Z10" s="272">
        <v>153782.45135589101</v>
      </c>
      <c r="AA10" s="270">
        <v>103100</v>
      </c>
      <c r="AB10" s="272">
        <v>73112.920300997706</v>
      </c>
      <c r="AC10" s="272">
        <v>73113.920300997706</v>
      </c>
      <c r="AD10" s="272">
        <v>73114.920300997706</v>
      </c>
      <c r="AE10" s="272">
        <v>73114.920300997706</v>
      </c>
      <c r="AF10" s="272">
        <v>73115.920300997706</v>
      </c>
      <c r="AG10" s="272">
        <v>73115.920300997706</v>
      </c>
      <c r="AH10" s="272">
        <v>-361000</v>
      </c>
      <c r="AI10" s="272">
        <v>-361000</v>
      </c>
      <c r="AJ10" s="272">
        <v>-361000</v>
      </c>
      <c r="AK10" s="272">
        <v>-361000</v>
      </c>
      <c r="AL10" s="272">
        <v>-361000</v>
      </c>
      <c r="AM10" s="272">
        <v>-361000</v>
      </c>
      <c r="AN10" s="270">
        <v>73113.920300997706</v>
      </c>
      <c r="AO10" s="272">
        <v>81000</v>
      </c>
      <c r="AP10" s="272">
        <v>81001</v>
      </c>
      <c r="AQ10" s="272">
        <v>81001</v>
      </c>
      <c r="AR10" s="272">
        <v>20214.799478032499</v>
      </c>
      <c r="AS10" s="272">
        <v>20214.799478032499</v>
      </c>
      <c r="AT10" s="272">
        <v>20214.799478032499</v>
      </c>
      <c r="AU10" s="272">
        <v>20214.799478032499</v>
      </c>
      <c r="AV10" s="272">
        <v>42940.939351163099</v>
      </c>
      <c r="AW10" s="272">
        <v>-47059.060648836901</v>
      </c>
      <c r="AX10" s="272">
        <v>-47058.060648836901</v>
      </c>
      <c r="AY10" s="272">
        <v>-47057.060648836901</v>
      </c>
      <c r="AZ10" s="272">
        <v>-47056.060648836901</v>
      </c>
      <c r="BA10" s="270">
        <v>81000</v>
      </c>
      <c r="BB10" s="272">
        <v>344927.35885997798</v>
      </c>
      <c r="BC10" s="272">
        <v>344928.35885997798</v>
      </c>
      <c r="BD10" s="272">
        <v>-201049.764599127</v>
      </c>
      <c r="BE10" s="272">
        <v>-201049.764599127</v>
      </c>
      <c r="BF10" s="272">
        <v>-201049.764599127</v>
      </c>
      <c r="BG10" s="272">
        <v>-201049.764599127</v>
      </c>
      <c r="BH10" s="272">
        <v>-201049.764599127</v>
      </c>
      <c r="BI10" s="269">
        <v>-201049.764599127</v>
      </c>
      <c r="BJ10" s="273">
        <v>-217698.046980527</v>
      </c>
      <c r="BK10" s="273">
        <v>-217698.046980527</v>
      </c>
      <c r="BL10" s="273">
        <v>-324481.26609277999</v>
      </c>
      <c r="BM10" s="273">
        <v>-324481.26609277999</v>
      </c>
      <c r="BN10" s="270">
        <v>344927.35885997798</v>
      </c>
      <c r="BO10" s="279">
        <v>226659.05617451368</v>
      </c>
      <c r="BP10" s="279">
        <v>226659.05617451368</v>
      </c>
      <c r="BQ10" s="279">
        <v>72024.283683617512</v>
      </c>
      <c r="BR10" s="279">
        <v>72024.283683617512</v>
      </c>
      <c r="BS10" s="279">
        <v>72024.283683617512</v>
      </c>
      <c r="BT10" s="279">
        <v>72024.283683617512</v>
      </c>
      <c r="BU10" s="279">
        <v>72024.283683617512</v>
      </c>
      <c r="BV10" s="279">
        <v>72024.283683617512</v>
      </c>
      <c r="BW10" s="279">
        <v>72024.283683617512</v>
      </c>
      <c r="BX10" s="279">
        <v>143391.70159931944</v>
      </c>
      <c r="BY10" s="279">
        <v>143391.70159931944</v>
      </c>
      <c r="BZ10" s="269">
        <v>143391.70159931944</v>
      </c>
      <c r="CA10" s="280">
        <v>226659.59001452269</v>
      </c>
      <c r="CB10" s="281">
        <f>502.319003047803*1000</f>
        <v>502319.00304780301</v>
      </c>
      <c r="CC10" s="281">
        <f>502.319003047803*1000</f>
        <v>502319.00304780301</v>
      </c>
      <c r="CD10" s="281">
        <f>502.319003047803*1000</f>
        <v>502319.00304780301</v>
      </c>
      <c r="CE10" s="281">
        <f>259.195807256242*1000</f>
        <v>259195.807256242</v>
      </c>
      <c r="CF10" s="281">
        <f>259.195807256242*1000</f>
        <v>259195.807256242</v>
      </c>
      <c r="CG10" s="281">
        <f>259.195807256242*1000</f>
        <v>259195.807256242</v>
      </c>
      <c r="CH10" s="281">
        <f>259.195807256242*1000</f>
        <v>259195.807256242</v>
      </c>
      <c r="CI10" s="281">
        <f>259.195807256242*1000</f>
        <v>259195.807256242</v>
      </c>
      <c r="CJ10" s="281">
        <f>76.8602413078814*1000</f>
        <v>76860.241307881399</v>
      </c>
      <c r="CK10" s="281">
        <f>76.8602413078814*1000</f>
        <v>76860.241307881399</v>
      </c>
      <c r="CL10" s="281">
        <f>-167.847691031774*1000</f>
        <v>-167847.69103177398</v>
      </c>
      <c r="CM10" s="281">
        <f>-116.493281483045*1000</f>
        <v>-116493.28148304499</v>
      </c>
      <c r="CN10" s="276">
        <f>502.319003047803*1000</f>
        <v>502319.00304780301</v>
      </c>
      <c r="CO10" s="282">
        <v>701067.19500923599</v>
      </c>
      <c r="CP10" s="281">
        <v>701067.19500923599</v>
      </c>
      <c r="CQ10" s="281">
        <v>462325.25153066701</v>
      </c>
      <c r="CR10" s="281">
        <v>462325.25153066701</v>
      </c>
      <c r="CS10" s="281">
        <v>462325.25153066701</v>
      </c>
      <c r="CT10" s="281">
        <f>462.325251530667*1000</f>
        <v>462325.25153066701</v>
      </c>
      <c r="CU10" s="281">
        <f>462.325251530667*1000</f>
        <v>462325.25153066701</v>
      </c>
      <c r="CV10" s="281">
        <f>462.325251530667*1000</f>
        <v>462325.25153066701</v>
      </c>
      <c r="CW10" s="281">
        <v>506941.38517915801</v>
      </c>
      <c r="CX10" s="281">
        <v>506941.38517915801</v>
      </c>
      <c r="CY10" s="281">
        <v>506941.38517915801</v>
      </c>
      <c r="CZ10" s="281">
        <v>506941.38517915801</v>
      </c>
      <c r="DA10" s="278">
        <v>710085.41133538412</v>
      </c>
      <c r="DB10" s="281">
        <v>319278.43923381699</v>
      </c>
      <c r="DC10" s="281">
        <v>35157.170490317803</v>
      </c>
      <c r="DD10" s="281">
        <v>35157.170490317803</v>
      </c>
      <c r="DE10" s="281">
        <v>35157.170490317803</v>
      </c>
      <c r="DF10" s="281">
        <v>35157.170490317803</v>
      </c>
      <c r="DG10" s="281">
        <v>35157.170490317803</v>
      </c>
      <c r="DH10" s="281">
        <v>35157.170490317803</v>
      </c>
      <c r="DI10" s="278">
        <v>319278.43923381699</v>
      </c>
    </row>
    <row r="11" spans="1:114" ht="15" customHeight="1">
      <c r="A11" s="3" t="s">
        <v>1</v>
      </c>
      <c r="B11" s="4">
        <f>B12-B18</f>
        <v>172805.51350000093</v>
      </c>
      <c r="C11" s="4">
        <v>299885.16225999885</v>
      </c>
      <c r="D11" s="4">
        <v>227894.48886999884</v>
      </c>
      <c r="E11" s="4">
        <v>239932.57403999974</v>
      </c>
      <c r="F11" s="4">
        <v>507038.02954999974</v>
      </c>
      <c r="G11" s="4">
        <v>477699.33505999972</v>
      </c>
      <c r="H11" s="4">
        <v>678131.01541999821</v>
      </c>
      <c r="I11" s="4">
        <v>723905.30009999895</v>
      </c>
      <c r="J11" s="4">
        <v>691349.81238999951</v>
      </c>
      <c r="K11" s="4">
        <v>514659.51549999963</v>
      </c>
      <c r="L11" s="4">
        <v>357846.3356100017</v>
      </c>
      <c r="M11" s="4">
        <f>M12-M18</f>
        <v>-215124.98699999787</v>
      </c>
      <c r="N11" s="55">
        <v>-163700</v>
      </c>
      <c r="O11" s="15">
        <f t="shared" ref="O11:AE11" si="16">O12-O18</f>
        <v>173648.37699999998</v>
      </c>
      <c r="P11" s="4">
        <f t="shared" si="16"/>
        <v>282463.52</v>
      </c>
      <c r="Q11" s="4">
        <f t="shared" si="16"/>
        <v>200654.90800000029</v>
      </c>
      <c r="R11" s="4">
        <f t="shared" si="16"/>
        <v>273027.46700000064</v>
      </c>
      <c r="S11" s="4">
        <f t="shared" si="16"/>
        <v>514413.86699999962</v>
      </c>
      <c r="T11" s="4">
        <f t="shared" si="16"/>
        <v>679211</v>
      </c>
      <c r="U11" s="4">
        <f t="shared" si="16"/>
        <v>597157.32500000019</v>
      </c>
      <c r="V11" s="4">
        <f t="shared" si="16"/>
        <v>596847.53500000015</v>
      </c>
      <c r="W11" s="4">
        <f t="shared" si="16"/>
        <v>521599.5139999995</v>
      </c>
      <c r="X11" s="4">
        <f t="shared" si="16"/>
        <v>443985.23599999957</v>
      </c>
      <c r="Y11" s="4">
        <f t="shared" si="16"/>
        <v>304824.027999999</v>
      </c>
      <c r="Z11" s="4">
        <f t="shared" si="16"/>
        <v>-117615.97699999809</v>
      </c>
      <c r="AA11" s="55">
        <v>-271100</v>
      </c>
      <c r="AB11" s="4">
        <f t="shared" si="16"/>
        <v>111895.87100000004</v>
      </c>
      <c r="AC11" s="4">
        <f t="shared" si="16"/>
        <v>215606.53399999999</v>
      </c>
      <c r="AD11" s="74">
        <v>71313.477999999188</v>
      </c>
      <c r="AE11" s="4">
        <f t="shared" si="16"/>
        <v>-11309.275000000373</v>
      </c>
      <c r="AF11" s="4">
        <f t="shared" ref="AF11:AK11" si="17">AF12-AF18</f>
        <v>58727.001000000164</v>
      </c>
      <c r="AG11" s="4">
        <f t="shared" si="17"/>
        <v>-131386</v>
      </c>
      <c r="AH11" s="4">
        <f t="shared" si="17"/>
        <v>6168.9649999989197</v>
      </c>
      <c r="AI11" s="4">
        <f t="shared" si="17"/>
        <v>-40154.808999999426</v>
      </c>
      <c r="AJ11" s="4">
        <f t="shared" si="17"/>
        <v>-170108.22400000133</v>
      </c>
      <c r="AK11" s="4">
        <f t="shared" si="17"/>
        <v>-409895.67699999921</v>
      </c>
      <c r="AL11" s="4">
        <f>AL12-AL18</f>
        <v>-541299.11799999885</v>
      </c>
      <c r="AM11" s="4">
        <f>AM12-AM18</f>
        <v>-1148893.834999999</v>
      </c>
      <c r="AN11" s="55">
        <v>-184365.881332102</v>
      </c>
      <c r="AO11" s="4">
        <f t="shared" ref="AO11:BC11" si="18">AO12-AO18</f>
        <v>170157.39800000028</v>
      </c>
      <c r="AP11" s="4">
        <f t="shared" si="18"/>
        <v>100119.49600000004</v>
      </c>
      <c r="AQ11" s="4">
        <f t="shared" si="18"/>
        <v>-526188.27000000048</v>
      </c>
      <c r="AR11" s="4">
        <f t="shared" si="18"/>
        <v>-673998.57499999972</v>
      </c>
      <c r="AS11" s="4">
        <f t="shared" si="18"/>
        <v>-630296.53900000174</v>
      </c>
      <c r="AT11" s="4">
        <f t="shared" si="18"/>
        <v>-953547.97599999979</v>
      </c>
      <c r="AU11" s="4">
        <f t="shared" si="18"/>
        <v>-872897.26999999955</v>
      </c>
      <c r="AV11" s="4">
        <f t="shared" si="18"/>
        <v>-864679.34100000095</v>
      </c>
      <c r="AW11" s="4">
        <f t="shared" si="18"/>
        <v>-744219.27900000103</v>
      </c>
      <c r="AX11" s="4">
        <f t="shared" si="18"/>
        <v>-924686.722000001</v>
      </c>
      <c r="AY11" s="4">
        <f t="shared" si="18"/>
        <v>-1031801.1769999992</v>
      </c>
      <c r="AZ11" s="4">
        <f t="shared" si="18"/>
        <v>-1828320.0050000027</v>
      </c>
      <c r="BA11" s="55">
        <f t="shared" si="18"/>
        <v>-1266032.6436968893</v>
      </c>
      <c r="BB11" s="4">
        <f t="shared" si="18"/>
        <v>218389.09100000025</v>
      </c>
      <c r="BC11" s="4">
        <f t="shared" si="18"/>
        <v>210185.14099999983</v>
      </c>
      <c r="BD11" s="4">
        <f t="shared" ref="BD11:CG11" si="19">BD12-BD18</f>
        <v>-135684.59600000037</v>
      </c>
      <c r="BE11" s="4">
        <f t="shared" si="19"/>
        <v>-82545.758999999613</v>
      </c>
      <c r="BF11" s="4">
        <f t="shared" si="19"/>
        <v>-165099.52699999884</v>
      </c>
      <c r="BG11" s="4">
        <f t="shared" si="19"/>
        <v>-227076.22099999897</v>
      </c>
      <c r="BH11" s="4">
        <f t="shared" si="19"/>
        <v>-98216.20600000117</v>
      </c>
      <c r="BI11" s="85">
        <f t="shared" si="19"/>
        <v>19124.955000000075</v>
      </c>
      <c r="BJ11" s="4">
        <f>BJ12-BJ18</f>
        <v>-315094.5540000014</v>
      </c>
      <c r="BK11" s="4">
        <f t="shared" si="19"/>
        <v>-529965.02000000142</v>
      </c>
      <c r="BL11" s="4">
        <f>BL12-BL18</f>
        <v>-599385.29700000025</v>
      </c>
      <c r="BM11" s="4">
        <f t="shared" si="19"/>
        <v>-1450688.2419999987</v>
      </c>
      <c r="BN11" s="55">
        <f>BN12-BN18</f>
        <v>-1965839.1860829182</v>
      </c>
      <c r="BO11" s="54">
        <f t="shared" si="19"/>
        <v>223039.36800000002</v>
      </c>
      <c r="BP11" s="117">
        <f t="shared" si="19"/>
        <v>147311.84300000034</v>
      </c>
      <c r="BQ11" s="4">
        <f t="shared" si="19"/>
        <v>-264068.62600000063</v>
      </c>
      <c r="BR11" s="4">
        <f t="shared" si="19"/>
        <v>-171713.07600000035</v>
      </c>
      <c r="BS11" s="4">
        <f t="shared" si="19"/>
        <v>-54726.190999999642</v>
      </c>
      <c r="BT11" s="4">
        <f t="shared" si="19"/>
        <v>-137743.26200000104</v>
      </c>
      <c r="BU11" s="4">
        <f t="shared" si="19"/>
        <v>88248.137000000104</v>
      </c>
      <c r="BV11" s="4">
        <f t="shared" si="19"/>
        <v>68812.632999999449</v>
      </c>
      <c r="BW11" s="4">
        <f t="shared" si="19"/>
        <v>58478.143000004813</v>
      </c>
      <c r="BX11" s="4">
        <f t="shared" si="19"/>
        <v>-148160.34800000302</v>
      </c>
      <c r="BY11" s="117">
        <f t="shared" si="19"/>
        <v>-265174.74899999984</v>
      </c>
      <c r="BZ11" s="4">
        <f t="shared" si="19"/>
        <v>-1422913.790000001</v>
      </c>
      <c r="CA11" s="135">
        <v>-1999046.7582297307</v>
      </c>
      <c r="CB11" s="131">
        <f t="shared" si="19"/>
        <v>253732.15099999984</v>
      </c>
      <c r="CC11" s="4">
        <f t="shared" si="19"/>
        <v>180870.99599999981</v>
      </c>
      <c r="CD11" s="4">
        <f t="shared" si="19"/>
        <v>41575.773999999743</v>
      </c>
      <c r="CE11" s="4">
        <f t="shared" si="19"/>
        <v>-96080.123999999836</v>
      </c>
      <c r="CF11" s="4">
        <f t="shared" si="19"/>
        <v>253236.02000000048</v>
      </c>
      <c r="CG11" s="4">
        <f t="shared" si="19"/>
        <v>604002.0150000006</v>
      </c>
      <c r="CH11" s="4">
        <f t="shared" ref="CH11:CM11" si="20">CH12-CH18</f>
        <v>590004.91999999993</v>
      </c>
      <c r="CI11" s="4">
        <f t="shared" si="20"/>
        <v>650076.53099999763</v>
      </c>
      <c r="CJ11" s="4">
        <f t="shared" si="20"/>
        <v>607082.16899999976</v>
      </c>
      <c r="CK11" s="4">
        <f t="shared" si="20"/>
        <v>311647.17399999686</v>
      </c>
      <c r="CL11" s="4">
        <f t="shared" si="20"/>
        <v>69491.743999997154</v>
      </c>
      <c r="CM11" s="4">
        <f t="shared" si="20"/>
        <v>-733124.83000000566</v>
      </c>
      <c r="CN11" s="184">
        <f>CN12-CN18</f>
        <v>-1781977.3346006237</v>
      </c>
      <c r="CO11" s="212">
        <f t="shared" ref="CO11:CZ11" si="21">CO12-CO18</f>
        <v>37266.269999999786</v>
      </c>
      <c r="CP11" s="4">
        <f t="shared" si="21"/>
        <v>-68091.927000000607</v>
      </c>
      <c r="CQ11" s="4">
        <f t="shared" si="21"/>
        <v>-521193.81899999967</v>
      </c>
      <c r="CR11" s="4">
        <f t="shared" si="21"/>
        <v>-777461.0130000012</v>
      </c>
      <c r="CS11" s="4">
        <f t="shared" si="21"/>
        <v>-419815.81400000118</v>
      </c>
      <c r="CT11" s="4">
        <f t="shared" si="21"/>
        <v>-253054.98100000247</v>
      </c>
      <c r="CU11" s="4">
        <f t="shared" si="21"/>
        <v>-419939.14099999703</v>
      </c>
      <c r="CV11" s="4">
        <f t="shared" si="21"/>
        <v>-257009.41000000015</v>
      </c>
      <c r="CW11" s="4">
        <f t="shared" si="21"/>
        <v>-502206.53299999982</v>
      </c>
      <c r="CX11" s="4">
        <f t="shared" si="21"/>
        <v>-810637.4140000008</v>
      </c>
      <c r="CY11" s="4">
        <f t="shared" si="21"/>
        <v>-1032419.9930000007</v>
      </c>
      <c r="CZ11" s="4">
        <f t="shared" si="21"/>
        <v>-1740696.8379999958</v>
      </c>
      <c r="DA11" s="193">
        <f t="shared" ref="DA11:DI11" si="22">DA12-DA18</f>
        <v>-1992912.7724667974</v>
      </c>
      <c r="DB11" s="4">
        <f t="shared" si="22"/>
        <v>-21540.934000000358</v>
      </c>
      <c r="DC11" s="4">
        <f t="shared" si="22"/>
        <v>425448.61800000025</v>
      </c>
      <c r="DD11" s="4">
        <f t="shared" si="22"/>
        <v>6527.8149999994785</v>
      </c>
      <c r="DE11" s="4">
        <f t="shared" si="22"/>
        <v>-137458.6129999999</v>
      </c>
      <c r="DF11" s="4">
        <f t="shared" si="22"/>
        <v>199841.31300000008</v>
      </c>
      <c r="DG11" s="4">
        <f t="shared" si="22"/>
        <v>272066.80799999833</v>
      </c>
      <c r="DH11" s="4">
        <f t="shared" si="22"/>
        <v>51063.656000001356</v>
      </c>
      <c r="DI11" s="193">
        <f t="shared" si="22"/>
        <v>-1786487.4533342086</v>
      </c>
      <c r="DJ11" s="81"/>
    </row>
    <row r="12" spans="1:114" ht="15" customHeight="1">
      <c r="A12" s="8" t="s">
        <v>2</v>
      </c>
      <c r="B12" s="5">
        <v>879758.22274999996</v>
      </c>
      <c r="C12" s="5">
        <v>1794327.4648599988</v>
      </c>
      <c r="D12" s="5">
        <v>2534388.0800799988</v>
      </c>
      <c r="E12" s="5">
        <v>3462923.9549599998</v>
      </c>
      <c r="F12" s="5">
        <v>4518483.9545099996</v>
      </c>
      <c r="G12" s="5">
        <v>5410818.9760199999</v>
      </c>
      <c r="H12" s="5">
        <v>6498180.1230999995</v>
      </c>
      <c r="I12" s="5">
        <v>7399592.8382799998</v>
      </c>
      <c r="J12" s="5">
        <v>8183485.7798300004</v>
      </c>
      <c r="K12" s="5">
        <v>9074913.4923599996</v>
      </c>
      <c r="L12" s="5">
        <v>9965572.5003500022</v>
      </c>
      <c r="M12" s="5">
        <f>M13+M14+M15+M16+M17</f>
        <v>10882903.297</v>
      </c>
      <c r="N12" s="56">
        <v>10697500</v>
      </c>
      <c r="O12" s="18">
        <f t="shared" ref="O12:AE12" si="23">O13+O14+O15+O16+O17</f>
        <v>975697.728</v>
      </c>
      <c r="P12" s="5">
        <f t="shared" si="23"/>
        <v>1982128.068</v>
      </c>
      <c r="Q12" s="5">
        <f t="shared" si="23"/>
        <v>2717261.1530000004</v>
      </c>
      <c r="R12" s="5">
        <f t="shared" si="23"/>
        <v>3718233.8710000003</v>
      </c>
      <c r="S12" s="5">
        <f t="shared" si="23"/>
        <v>4827093</v>
      </c>
      <c r="T12" s="5">
        <f t="shared" si="23"/>
        <v>5906959</v>
      </c>
      <c r="U12" s="5">
        <f t="shared" si="23"/>
        <v>6797238.0060000001</v>
      </c>
      <c r="V12" s="5">
        <f t="shared" si="23"/>
        <v>7651862.6189999999</v>
      </c>
      <c r="W12" s="5">
        <f t="shared" si="23"/>
        <v>8441191.1919999998</v>
      </c>
      <c r="X12" s="5">
        <f t="shared" si="23"/>
        <v>9442475.4529999997</v>
      </c>
      <c r="Y12" s="5">
        <f t="shared" si="23"/>
        <v>10298302.450000001</v>
      </c>
      <c r="Z12" s="5">
        <f t="shared" si="23"/>
        <v>11414355.347000001</v>
      </c>
      <c r="AA12" s="56">
        <v>11141600</v>
      </c>
      <c r="AB12" s="5">
        <f t="shared" si="23"/>
        <v>990255.96600000001</v>
      </c>
      <c r="AC12" s="5">
        <f t="shared" si="23"/>
        <v>1994242.7690000001</v>
      </c>
      <c r="AD12" s="75">
        <v>2785216.6279999996</v>
      </c>
      <c r="AE12" s="5">
        <f t="shared" si="23"/>
        <v>3793559.8009999995</v>
      </c>
      <c r="AF12" s="5">
        <f>AF13+AF14+AF15+AF16+AF17</f>
        <v>4709221.1490000002</v>
      </c>
      <c r="AG12" s="5">
        <f>AG13+AG14+AG15+AG16+AG17</f>
        <v>5526746</v>
      </c>
      <c r="AH12" s="75">
        <f t="shared" ref="AH12:AM12" si="24">SUM(AH13:AH17)</f>
        <v>6664024.0649999995</v>
      </c>
      <c r="AI12" s="75">
        <f t="shared" si="24"/>
        <v>7569621.512000001</v>
      </c>
      <c r="AJ12" s="75">
        <f t="shared" si="24"/>
        <v>8418443.9169999994</v>
      </c>
      <c r="AK12" s="75">
        <f t="shared" si="24"/>
        <v>9324671.3610000014</v>
      </c>
      <c r="AL12" s="75">
        <f t="shared" si="24"/>
        <v>10221666.760000002</v>
      </c>
      <c r="AM12" s="75">
        <f t="shared" si="24"/>
        <v>11320505.937999999</v>
      </c>
      <c r="AN12" s="56">
        <v>11857222.329</v>
      </c>
      <c r="AO12" s="75">
        <f>SUM(AO13:AO17)</f>
        <v>1025729.2190000002</v>
      </c>
      <c r="AP12" s="75">
        <f>SUM(AP13:AP17)</f>
        <v>2075762.1670000001</v>
      </c>
      <c r="AQ12" s="75">
        <f>SUM(AQ13:AQ17)</f>
        <v>2805212.5209999997</v>
      </c>
      <c r="AR12" s="75">
        <f>SUM(AR13:AR17)</f>
        <v>3931065.3630000004</v>
      </c>
      <c r="AS12" s="75">
        <f t="shared" ref="AS12:AY12" si="25">SUM(AS13:AS17)</f>
        <v>5035220.6849999987</v>
      </c>
      <c r="AT12" s="75">
        <f t="shared" si="25"/>
        <v>6011821.3130000001</v>
      </c>
      <c r="AU12" s="75">
        <f t="shared" si="25"/>
        <v>7174453.3150000004</v>
      </c>
      <c r="AV12" s="75">
        <f t="shared" si="25"/>
        <v>8200173.3370000003</v>
      </c>
      <c r="AW12" s="75">
        <f t="shared" si="25"/>
        <v>9385024.4179999996</v>
      </c>
      <c r="AX12" s="75">
        <f t="shared" si="25"/>
        <v>10378453.601</v>
      </c>
      <c r="AY12" s="75">
        <f t="shared" si="25"/>
        <v>11453394.700000001</v>
      </c>
      <c r="AZ12" s="75">
        <f t="shared" ref="AZ12:CN12" si="26">SUM(AZ13:AZ17)</f>
        <v>12572252.720999997</v>
      </c>
      <c r="BA12" s="56">
        <f t="shared" si="26"/>
        <v>11505167.982000001</v>
      </c>
      <c r="BB12" s="75">
        <f t="shared" si="26"/>
        <v>1230170.0470000003</v>
      </c>
      <c r="BC12" s="75">
        <f t="shared" si="26"/>
        <v>2396549.9539999999</v>
      </c>
      <c r="BD12" s="75">
        <f t="shared" si="26"/>
        <v>3292748.7499999995</v>
      </c>
      <c r="BE12" s="75">
        <f>SUM(BE13:BE17)</f>
        <v>4533229.0440000007</v>
      </c>
      <c r="BF12" s="75">
        <f>SUM(BF13:BF17)</f>
        <v>5674812.5990000004</v>
      </c>
      <c r="BG12" s="75">
        <f>SUM(BG13:BG17)</f>
        <v>6784886.4799999995</v>
      </c>
      <c r="BH12" s="75">
        <f>SUM(BH13:BH17)</f>
        <v>8002395.0970000001</v>
      </c>
      <c r="BI12" s="75">
        <f>SUM(BI13:BI17)</f>
        <v>9224425.6809999999</v>
      </c>
      <c r="BJ12" s="75">
        <f t="shared" si="26"/>
        <v>10303593.375999998</v>
      </c>
      <c r="BK12" s="75">
        <f t="shared" si="26"/>
        <v>11632305.982999999</v>
      </c>
      <c r="BL12" s="75">
        <f t="shared" si="26"/>
        <v>12894240.421</v>
      </c>
      <c r="BM12" s="75">
        <f t="shared" si="26"/>
        <v>14273848.079</v>
      </c>
      <c r="BN12" s="56">
        <f t="shared" si="26"/>
        <v>12684579.007999998</v>
      </c>
      <c r="BO12" s="75">
        <f t="shared" si="26"/>
        <v>1307495.6850000001</v>
      </c>
      <c r="BP12" s="118">
        <f t="shared" si="26"/>
        <v>2642572.415</v>
      </c>
      <c r="BQ12" s="75">
        <f t="shared" si="26"/>
        <v>3584505.5599999996</v>
      </c>
      <c r="BR12" s="75">
        <f t="shared" si="26"/>
        <v>4977488.9879999999</v>
      </c>
      <c r="BS12" s="75">
        <f t="shared" si="26"/>
        <v>6379987.1710000001</v>
      </c>
      <c r="BT12" s="75">
        <f t="shared" si="26"/>
        <v>7684032.7689999994</v>
      </c>
      <c r="BU12" s="75">
        <f t="shared" si="26"/>
        <v>9143782.6349999998</v>
      </c>
      <c r="BV12" s="75">
        <f t="shared" si="26"/>
        <v>10401659.129000001</v>
      </c>
      <c r="BW12" s="75">
        <f t="shared" si="26"/>
        <v>11619528.627000002</v>
      </c>
      <c r="BX12" s="75">
        <f t="shared" si="26"/>
        <v>12829334.529999997</v>
      </c>
      <c r="BY12" s="129">
        <f t="shared" si="26"/>
        <v>14183424.774</v>
      </c>
      <c r="BZ12" s="5">
        <f t="shared" si="26"/>
        <v>15541746.577000001</v>
      </c>
      <c r="CA12" s="136">
        <v>15092858.163000001</v>
      </c>
      <c r="CB12" s="132">
        <f t="shared" si="26"/>
        <v>1557359.8019999999</v>
      </c>
      <c r="CC12" s="125">
        <f t="shared" si="26"/>
        <v>2912416.2560000001</v>
      </c>
      <c r="CD12" s="125">
        <f t="shared" si="26"/>
        <v>4095914</v>
      </c>
      <c r="CE12" s="125">
        <f t="shared" si="26"/>
        <v>5511561.6439999994</v>
      </c>
      <c r="CF12" s="125">
        <f t="shared" si="26"/>
        <v>7223421.8889999995</v>
      </c>
      <c r="CG12" s="125">
        <f t="shared" si="26"/>
        <v>9013060.1119999997</v>
      </c>
      <c r="CH12" s="125">
        <f t="shared" si="26"/>
        <v>10491786.183</v>
      </c>
      <c r="CI12" s="125">
        <f t="shared" si="26"/>
        <v>11866479.380999999</v>
      </c>
      <c r="CJ12" s="125">
        <f t="shared" si="26"/>
        <v>13128035.488000002</v>
      </c>
      <c r="CK12" s="125">
        <f t="shared" si="26"/>
        <v>14410767.687999997</v>
      </c>
      <c r="CL12" s="125">
        <f t="shared" si="26"/>
        <v>15675516.220999999</v>
      </c>
      <c r="CM12" s="125">
        <f t="shared" si="26"/>
        <v>17145707.653999995</v>
      </c>
      <c r="CN12" s="185">
        <f t="shared" si="26"/>
        <v>17117001.537000004</v>
      </c>
      <c r="CO12" s="190">
        <f t="shared" ref="CO12:DI12" si="27">SUM(CO13:CO17)</f>
        <v>1450465.2409999999</v>
      </c>
      <c r="CP12" s="125">
        <f t="shared" si="27"/>
        <v>2892448.1929999995</v>
      </c>
      <c r="CQ12" s="125">
        <f t="shared" si="27"/>
        <v>4053654.3910000003</v>
      </c>
      <c r="CR12" s="125">
        <f t="shared" si="27"/>
        <v>5450595.2919999994</v>
      </c>
      <c r="CS12" s="125">
        <f t="shared" si="27"/>
        <v>7223005.7659999989</v>
      </c>
      <c r="CT12" s="125">
        <f t="shared" si="27"/>
        <v>8930696.4829999991</v>
      </c>
      <c r="CU12" s="125">
        <f t="shared" si="27"/>
        <v>10354115.228000002</v>
      </c>
      <c r="CV12" s="125">
        <f t="shared" si="27"/>
        <v>11964587.660999998</v>
      </c>
      <c r="CW12" s="125">
        <f t="shared" si="27"/>
        <v>13258742.592</v>
      </c>
      <c r="CX12" s="125">
        <f t="shared" si="27"/>
        <v>14610219.223999999</v>
      </c>
      <c r="CY12" s="125">
        <f t="shared" si="27"/>
        <v>15945633.837000001</v>
      </c>
      <c r="CZ12" s="125">
        <f t="shared" si="27"/>
        <v>17777726.586000003</v>
      </c>
      <c r="DA12" s="194">
        <f t="shared" si="27"/>
        <v>17894063.320949998</v>
      </c>
      <c r="DB12" s="75">
        <f t="shared" ref="DB12:DH12" si="28">SUM(DB13:DB17)</f>
        <v>1501897.0279999999</v>
      </c>
      <c r="DC12" s="75">
        <f t="shared" si="28"/>
        <v>3543740.8990000002</v>
      </c>
      <c r="DD12" s="75">
        <f t="shared" si="28"/>
        <v>4785546.7719999999</v>
      </c>
      <c r="DE12" s="75">
        <f t="shared" si="28"/>
        <v>6215102.824</v>
      </c>
      <c r="DF12" s="75">
        <f t="shared" si="28"/>
        <v>8105635.7039999999</v>
      </c>
      <c r="DG12" s="75">
        <f t="shared" si="28"/>
        <v>9868138.2530000005</v>
      </c>
      <c r="DH12" s="75">
        <f t="shared" si="28"/>
        <v>11422109.916000001</v>
      </c>
      <c r="DI12" s="194">
        <f t="shared" si="27"/>
        <v>19067581.343973633</v>
      </c>
      <c r="DJ12" s="285"/>
    </row>
    <row r="13" spans="1:114" ht="15" customHeight="1">
      <c r="A13" s="9" t="s">
        <v>3</v>
      </c>
      <c r="B13" s="7">
        <v>696349.59452000004</v>
      </c>
      <c r="C13" s="7">
        <v>1335242.5238700002</v>
      </c>
      <c r="D13" s="7">
        <v>1981994.1360400002</v>
      </c>
      <c r="E13" s="7">
        <v>2706759.7632300002</v>
      </c>
      <c r="F13" s="7">
        <v>3452831.8845700002</v>
      </c>
      <c r="G13" s="7">
        <v>4212086.6095700003</v>
      </c>
      <c r="H13" s="7">
        <v>4976816.4708000002</v>
      </c>
      <c r="I13" s="7">
        <v>5725645.1147699999</v>
      </c>
      <c r="J13" s="7">
        <v>6416497.4465100002</v>
      </c>
      <c r="K13" s="7">
        <v>7133678.1796300001</v>
      </c>
      <c r="L13" s="7">
        <v>7874050.0541599998</v>
      </c>
      <c r="M13" s="7">
        <v>8657736.7609999999</v>
      </c>
      <c r="N13" s="53">
        <v>8581000</v>
      </c>
      <c r="O13" s="21">
        <v>717665.07200000004</v>
      </c>
      <c r="P13" s="7">
        <v>1395175.175</v>
      </c>
      <c r="Q13" s="7">
        <v>2045428.31</v>
      </c>
      <c r="R13" s="57">
        <v>2771915.4789999998</v>
      </c>
      <c r="S13" s="57">
        <v>3538657</v>
      </c>
      <c r="T13" s="57">
        <v>4269899</v>
      </c>
      <c r="U13" s="57">
        <v>5056535.3260000004</v>
      </c>
      <c r="V13" s="57">
        <v>5837072</v>
      </c>
      <c r="W13" s="57">
        <v>6621241.1239999998</v>
      </c>
      <c r="X13" s="57">
        <v>7406743.2089999998</v>
      </c>
      <c r="Y13" s="57">
        <v>8191561.5180000002</v>
      </c>
      <c r="Z13" s="57">
        <v>9057335.2300000004</v>
      </c>
      <c r="AA13" s="53">
        <v>9041500</v>
      </c>
      <c r="AB13" s="57">
        <v>809688.72100000002</v>
      </c>
      <c r="AC13" s="57">
        <v>1538860.8540000001</v>
      </c>
      <c r="AD13" s="57">
        <v>2161664.4339999999</v>
      </c>
      <c r="AE13" s="57">
        <v>2851176.6209999998</v>
      </c>
      <c r="AF13" s="57">
        <v>3480472.5180000002</v>
      </c>
      <c r="AG13" s="57">
        <v>4171145</v>
      </c>
      <c r="AH13" s="57">
        <v>4967843.852</v>
      </c>
      <c r="AI13" s="57">
        <v>5771795.409</v>
      </c>
      <c r="AJ13" s="57">
        <v>6555151.0750000002</v>
      </c>
      <c r="AK13" s="57">
        <v>7382948.9819999998</v>
      </c>
      <c r="AL13" s="57">
        <v>8180050.443</v>
      </c>
      <c r="AM13" s="57">
        <v>9006546.8129999992</v>
      </c>
      <c r="AN13" s="53">
        <v>9681919.6940000001</v>
      </c>
      <c r="AO13" s="57">
        <v>782986.00100000005</v>
      </c>
      <c r="AP13" s="57">
        <v>1517838.0660000001</v>
      </c>
      <c r="AQ13" s="57">
        <v>2155729.5759999999</v>
      </c>
      <c r="AR13" s="57">
        <v>3020080</v>
      </c>
      <c r="AS13" s="57">
        <v>3870332.9909999999</v>
      </c>
      <c r="AT13" s="57">
        <v>4639071.3789999997</v>
      </c>
      <c r="AU13" s="57">
        <v>5561333.6349999998</v>
      </c>
      <c r="AV13" s="57">
        <v>6463007.8190000001</v>
      </c>
      <c r="AW13" s="57">
        <v>7315733.4050000003</v>
      </c>
      <c r="AX13" s="57">
        <v>8211607</v>
      </c>
      <c r="AY13" s="57">
        <v>9068068.0999999996</v>
      </c>
      <c r="AZ13" s="57">
        <v>10031004.142999999</v>
      </c>
      <c r="BA13" s="53">
        <v>9341523.8690000009</v>
      </c>
      <c r="BB13" s="57">
        <v>941791.93599999999</v>
      </c>
      <c r="BC13" s="57">
        <v>1812606.925</v>
      </c>
      <c r="BD13" s="83">
        <v>2581661.61</v>
      </c>
      <c r="BE13" s="83">
        <v>3539496.7620000001</v>
      </c>
      <c r="BF13" s="83">
        <v>4518175.3210000005</v>
      </c>
      <c r="BG13" s="83">
        <v>5407091.5539999995</v>
      </c>
      <c r="BH13" s="83">
        <v>6434548.4419999998</v>
      </c>
      <c r="BI13" s="83">
        <v>7404542.523</v>
      </c>
      <c r="BJ13" s="83">
        <v>8389978.4269999992</v>
      </c>
      <c r="BK13" s="83">
        <v>9411640.9409999996</v>
      </c>
      <c r="BL13" s="83">
        <v>10449868.615</v>
      </c>
      <c r="BM13" s="83">
        <v>11557277.694</v>
      </c>
      <c r="BN13" s="87">
        <v>10190683.664999999</v>
      </c>
      <c r="BO13" s="83">
        <v>1077162.7609999999</v>
      </c>
      <c r="BP13" s="83">
        <v>2060667.0049999999</v>
      </c>
      <c r="BQ13" s="121">
        <v>2899113.1949999998</v>
      </c>
      <c r="BR13" s="121">
        <v>3962980.196</v>
      </c>
      <c r="BS13" s="121">
        <v>5034775.4369999999</v>
      </c>
      <c r="BT13" s="121">
        <v>6057990.1129999999</v>
      </c>
      <c r="BU13" s="121">
        <v>7166658.2439999999</v>
      </c>
      <c r="BV13" s="121">
        <v>8241511.5520000001</v>
      </c>
      <c r="BW13" s="121">
        <v>9316330.3210000005</v>
      </c>
      <c r="BX13" s="121">
        <v>10408732.415999999</v>
      </c>
      <c r="BY13" s="121">
        <v>11427806.365</v>
      </c>
      <c r="BZ13" s="7">
        <v>12600415.595000001</v>
      </c>
      <c r="CA13" s="134">
        <v>12286667.954</v>
      </c>
      <c r="CB13" s="121">
        <v>1080454.102</v>
      </c>
      <c r="CC13" s="121">
        <v>2104737.9569999999</v>
      </c>
      <c r="CD13" s="121">
        <v>3053104.517</v>
      </c>
      <c r="CE13" s="121">
        <v>4154252.8169999998</v>
      </c>
      <c r="CF13" s="121">
        <v>5338864.443</v>
      </c>
      <c r="CG13" s="121">
        <v>6514471.0729999999</v>
      </c>
      <c r="CH13" s="121">
        <v>7683399.7390000001</v>
      </c>
      <c r="CI13" s="121">
        <v>8847203.7249999996</v>
      </c>
      <c r="CJ13" s="121">
        <v>9991699.3230000008</v>
      </c>
      <c r="CK13" s="121">
        <v>11135224.812999999</v>
      </c>
      <c r="CL13" s="121">
        <v>12269515.438999999</v>
      </c>
      <c r="CM13" s="121">
        <v>13583513.608999999</v>
      </c>
      <c r="CN13" s="186">
        <v>13804572.522</v>
      </c>
      <c r="CO13" s="173">
        <v>1197099.889</v>
      </c>
      <c r="CP13" s="121">
        <v>2272644.2319999998</v>
      </c>
      <c r="CQ13" s="121">
        <v>3255356.4580000001</v>
      </c>
      <c r="CR13" s="121">
        <v>4410726.5360000003</v>
      </c>
      <c r="CS13" s="121">
        <v>5641373.6359999999</v>
      </c>
      <c r="CT13" s="121">
        <v>6895246.7290000003</v>
      </c>
      <c r="CU13" s="121">
        <v>8133756.2740000002</v>
      </c>
      <c r="CV13" s="121">
        <v>9393004.1490000002</v>
      </c>
      <c r="CW13" s="121">
        <v>10570871.793</v>
      </c>
      <c r="CX13" s="121">
        <v>11808512.583000001</v>
      </c>
      <c r="CY13" s="121">
        <v>13015953.979</v>
      </c>
      <c r="CZ13" s="121">
        <v>14338753.335000001</v>
      </c>
      <c r="DA13" s="195">
        <v>14552749.614</v>
      </c>
      <c r="DB13" s="121">
        <v>1245064.9280000001</v>
      </c>
      <c r="DC13" s="121">
        <v>2414035.0150000001</v>
      </c>
      <c r="DD13" s="121">
        <v>3465732.04</v>
      </c>
      <c r="DE13" s="121">
        <v>4720426.7259999998</v>
      </c>
      <c r="DF13" s="121">
        <v>5990311.6579999998</v>
      </c>
      <c r="DG13" s="121">
        <v>7284438.3949999996</v>
      </c>
      <c r="DH13" s="121">
        <v>8642876.6980000008</v>
      </c>
      <c r="DI13" s="195">
        <v>15219833.618000001</v>
      </c>
    </row>
    <row r="14" spans="1:114" ht="15" customHeight="1">
      <c r="A14" s="9" t="s">
        <v>4</v>
      </c>
      <c r="B14" s="7">
        <v>29737.793310000001</v>
      </c>
      <c r="C14" s="7">
        <v>56558.20753</v>
      </c>
      <c r="D14" s="7">
        <v>82104.023249999998</v>
      </c>
      <c r="E14" s="7">
        <v>149693.43595000001</v>
      </c>
      <c r="F14" s="7">
        <v>362302.83981999999</v>
      </c>
      <c r="G14" s="7">
        <v>434715.80682</v>
      </c>
      <c r="H14" s="7">
        <v>471608.45379</v>
      </c>
      <c r="I14" s="7">
        <v>507050.09762999997</v>
      </c>
      <c r="J14" s="7">
        <v>556820.06640000001</v>
      </c>
      <c r="K14" s="7">
        <v>594412.03327999997</v>
      </c>
      <c r="L14" s="7">
        <v>687540.86867999984</v>
      </c>
      <c r="M14" s="7">
        <v>717746.86300000001</v>
      </c>
      <c r="N14" s="53">
        <v>548000</v>
      </c>
      <c r="O14" s="21">
        <v>29018.454000000002</v>
      </c>
      <c r="P14" s="7">
        <v>57406.317000000003</v>
      </c>
      <c r="Q14" s="7">
        <v>91466.756999999998</v>
      </c>
      <c r="R14" s="57">
        <v>149112.035</v>
      </c>
      <c r="S14" s="57">
        <v>391994</v>
      </c>
      <c r="T14" s="57">
        <v>434051</v>
      </c>
      <c r="U14" s="57">
        <v>472758.978</v>
      </c>
      <c r="V14" s="57">
        <v>508700</v>
      </c>
      <c r="W14" s="57">
        <v>538356.73100000003</v>
      </c>
      <c r="X14" s="57">
        <v>572471.97699999996</v>
      </c>
      <c r="Y14" s="57">
        <v>607601.174</v>
      </c>
      <c r="Z14" s="57">
        <v>641254.38899999997</v>
      </c>
      <c r="AA14" s="53">
        <v>594500</v>
      </c>
      <c r="AB14" s="57">
        <v>38342.595999999998</v>
      </c>
      <c r="AC14" s="57">
        <v>70929.384000000005</v>
      </c>
      <c r="AD14" s="57">
        <v>114667.041</v>
      </c>
      <c r="AE14" s="57">
        <v>179888.704</v>
      </c>
      <c r="AF14" s="57">
        <v>351823.70199999999</v>
      </c>
      <c r="AG14" s="57">
        <v>443746</v>
      </c>
      <c r="AH14" s="57">
        <v>479346.61</v>
      </c>
      <c r="AI14" s="57">
        <v>512277.217</v>
      </c>
      <c r="AJ14" s="57">
        <v>544753.40700000001</v>
      </c>
      <c r="AK14" s="57">
        <v>583326.49699999997</v>
      </c>
      <c r="AL14" s="57">
        <v>630895.85499999998</v>
      </c>
      <c r="AM14" s="57">
        <v>671410.51500000001</v>
      </c>
      <c r="AN14" s="53">
        <v>596059.78300000005</v>
      </c>
      <c r="AO14" s="57">
        <v>31370.887999999999</v>
      </c>
      <c r="AP14" s="57">
        <v>76491.956000000006</v>
      </c>
      <c r="AQ14" s="57">
        <v>111756.72500000001</v>
      </c>
      <c r="AR14" s="57">
        <v>159088</v>
      </c>
      <c r="AS14" s="57">
        <v>353218.6</v>
      </c>
      <c r="AT14" s="57">
        <v>491121.83600000001</v>
      </c>
      <c r="AU14" s="57">
        <v>534691.81900000002</v>
      </c>
      <c r="AV14" s="57">
        <v>577848.69099999999</v>
      </c>
      <c r="AW14" s="57">
        <v>634919.49100000004</v>
      </c>
      <c r="AX14" s="57">
        <v>683406</v>
      </c>
      <c r="AY14" s="57">
        <v>723674.4</v>
      </c>
      <c r="AZ14" s="57">
        <v>774009.995</v>
      </c>
      <c r="BA14" s="53">
        <v>569700.44299999997</v>
      </c>
      <c r="BB14" s="57">
        <v>57283.078999999998</v>
      </c>
      <c r="BC14" s="57">
        <v>103487.74400000001</v>
      </c>
      <c r="BD14" s="83">
        <v>168952.182</v>
      </c>
      <c r="BE14" s="83">
        <v>236000.95300000001</v>
      </c>
      <c r="BF14" s="83">
        <v>324415.66899999999</v>
      </c>
      <c r="BG14" s="83">
        <v>452665.43199999997</v>
      </c>
      <c r="BH14" s="83">
        <v>585777.79</v>
      </c>
      <c r="BI14" s="83">
        <v>645416.41200000001</v>
      </c>
      <c r="BJ14" s="83">
        <v>687038.86</v>
      </c>
      <c r="BK14" s="83">
        <v>736741.43</v>
      </c>
      <c r="BL14" s="83">
        <v>796412.68700000003</v>
      </c>
      <c r="BM14" s="83">
        <v>847584.04599999997</v>
      </c>
      <c r="BN14" s="87">
        <v>618563.78099999996</v>
      </c>
      <c r="BO14" s="83">
        <v>46895.817000000003</v>
      </c>
      <c r="BP14" s="83">
        <v>102340.745</v>
      </c>
      <c r="BQ14" s="121">
        <v>156122.359</v>
      </c>
      <c r="BR14" s="121">
        <v>233359.448</v>
      </c>
      <c r="BS14" s="121">
        <v>425451.66800000001</v>
      </c>
      <c r="BT14" s="121">
        <v>662773.92500000005</v>
      </c>
      <c r="BU14" s="121">
        <v>749280.48899999994</v>
      </c>
      <c r="BV14" s="121">
        <v>803692.62800000003</v>
      </c>
      <c r="BW14" s="121">
        <v>858330.51599999995</v>
      </c>
      <c r="BX14" s="121">
        <v>920697.16599999997</v>
      </c>
      <c r="BY14" s="121">
        <v>1005853.704</v>
      </c>
      <c r="BZ14" s="7">
        <v>1064259.807</v>
      </c>
      <c r="CA14" s="134">
        <v>846332.99600000004</v>
      </c>
      <c r="CB14" s="121">
        <v>91673.743000000002</v>
      </c>
      <c r="CC14" s="121">
        <v>154609.77799999999</v>
      </c>
      <c r="CD14" s="121">
        <v>202737.978</v>
      </c>
      <c r="CE14" s="121">
        <v>280622.451</v>
      </c>
      <c r="CF14" s="121">
        <v>385440.935</v>
      </c>
      <c r="CG14" s="121">
        <v>828688.53700000001</v>
      </c>
      <c r="CH14" s="121">
        <v>905926.424</v>
      </c>
      <c r="CI14" s="121">
        <v>962662.80500000005</v>
      </c>
      <c r="CJ14" s="121">
        <v>1018204.732</v>
      </c>
      <c r="CK14" s="121">
        <v>1098480.402</v>
      </c>
      <c r="CL14" s="121">
        <v>1172182.2220000001</v>
      </c>
      <c r="CM14" s="121">
        <v>1220006.236</v>
      </c>
      <c r="CN14" s="186">
        <v>965806.23499999999</v>
      </c>
      <c r="CO14" s="173">
        <v>72897.604999999996</v>
      </c>
      <c r="CP14" s="121">
        <v>135884.07</v>
      </c>
      <c r="CQ14" s="121">
        <v>184481.11600000001</v>
      </c>
      <c r="CR14" s="121">
        <v>238977.04300000001</v>
      </c>
      <c r="CS14" s="121">
        <v>301824.95799999998</v>
      </c>
      <c r="CT14" s="121">
        <v>668356.353</v>
      </c>
      <c r="CU14" s="121">
        <v>799989.34600000002</v>
      </c>
      <c r="CV14" s="121">
        <v>891347.34699999995</v>
      </c>
      <c r="CW14" s="121">
        <v>950615.95200000005</v>
      </c>
      <c r="CX14" s="121">
        <v>1016419.773</v>
      </c>
      <c r="CY14" s="121">
        <v>1078918.409</v>
      </c>
      <c r="CZ14" s="121">
        <v>1143537.047</v>
      </c>
      <c r="DA14" s="195">
        <v>1031009.29795</v>
      </c>
      <c r="DB14" s="121">
        <v>69185.706999999995</v>
      </c>
      <c r="DC14" s="121">
        <v>141599.057</v>
      </c>
      <c r="DD14" s="121">
        <v>193443.32500000001</v>
      </c>
      <c r="DE14" s="121">
        <v>274094.24800000002</v>
      </c>
      <c r="DF14" s="121">
        <v>370679.00599999999</v>
      </c>
      <c r="DG14" s="121">
        <v>708409.75399999996</v>
      </c>
      <c r="DH14" s="121">
        <v>833762.93299999996</v>
      </c>
      <c r="DI14" s="195">
        <v>1064746.8679527601</v>
      </c>
    </row>
    <row r="15" spans="1:114" ht="15" customHeight="1">
      <c r="A15" s="9" t="s">
        <v>5</v>
      </c>
      <c r="B15" s="7">
        <v>37493.740619999997</v>
      </c>
      <c r="C15" s="7">
        <v>66259.854999999996</v>
      </c>
      <c r="D15" s="7">
        <v>96383.074429999993</v>
      </c>
      <c r="E15" s="7">
        <v>126920.16323999999</v>
      </c>
      <c r="F15" s="7">
        <v>154848.95260999998</v>
      </c>
      <c r="G15" s="7">
        <v>181086.93860999998</v>
      </c>
      <c r="H15" s="7">
        <v>212369.20074999999</v>
      </c>
      <c r="I15" s="7">
        <v>248550.07204999999</v>
      </c>
      <c r="J15" s="7">
        <v>278056.43822000001</v>
      </c>
      <c r="K15" s="7">
        <v>309443.18594</v>
      </c>
      <c r="L15" s="7">
        <v>345212.96065000002</v>
      </c>
      <c r="M15" s="7">
        <v>372260.14799999999</v>
      </c>
      <c r="N15" s="53">
        <v>340900</v>
      </c>
      <c r="O15" s="21">
        <v>42623.040000000001</v>
      </c>
      <c r="P15" s="7">
        <v>83750.903000000006</v>
      </c>
      <c r="Q15" s="7">
        <v>110561.652</v>
      </c>
      <c r="R15" s="57">
        <v>144805.17300000001</v>
      </c>
      <c r="S15" s="57">
        <v>175956</v>
      </c>
      <c r="T15" s="57">
        <v>200904</v>
      </c>
      <c r="U15" s="57">
        <v>234999.35800000001</v>
      </c>
      <c r="V15" s="57">
        <v>272237</v>
      </c>
      <c r="W15" s="57">
        <v>300745.989</v>
      </c>
      <c r="X15" s="57">
        <v>331331.299</v>
      </c>
      <c r="Y15" s="57">
        <v>358599.96</v>
      </c>
      <c r="Z15" s="57">
        <v>390008.53499999997</v>
      </c>
      <c r="AA15" s="53">
        <v>361200</v>
      </c>
      <c r="AB15" s="57">
        <v>40276.877</v>
      </c>
      <c r="AC15" s="57">
        <v>73194.157999999996</v>
      </c>
      <c r="AD15" s="57">
        <v>100934.962</v>
      </c>
      <c r="AE15" s="57">
        <v>131681.21599999999</v>
      </c>
      <c r="AF15" s="57">
        <v>150785.06200000001</v>
      </c>
      <c r="AG15" s="57">
        <v>173297</v>
      </c>
      <c r="AH15" s="57">
        <v>201854.61799999999</v>
      </c>
      <c r="AI15" s="57">
        <v>237648.85500000001</v>
      </c>
      <c r="AJ15" s="57">
        <v>266032.51500000001</v>
      </c>
      <c r="AK15" s="57">
        <v>298333.83500000002</v>
      </c>
      <c r="AL15" s="57">
        <v>327842.99200000003</v>
      </c>
      <c r="AM15" s="57">
        <v>352964.74599999998</v>
      </c>
      <c r="AN15" s="53">
        <v>359132.59100000001</v>
      </c>
      <c r="AO15" s="57">
        <v>33919.305</v>
      </c>
      <c r="AP15" s="57">
        <v>61358.737000000001</v>
      </c>
      <c r="AQ15" s="57">
        <v>93756.894</v>
      </c>
      <c r="AR15" s="57">
        <v>129559.223</v>
      </c>
      <c r="AS15" s="57">
        <v>151991.111</v>
      </c>
      <c r="AT15" s="57">
        <v>171474.79</v>
      </c>
      <c r="AU15" s="57">
        <v>208654.785</v>
      </c>
      <c r="AV15" s="57">
        <v>248145.552</v>
      </c>
      <c r="AW15" s="57">
        <v>278377.53899999999</v>
      </c>
      <c r="AX15" s="57">
        <v>311881.84999999998</v>
      </c>
      <c r="AY15" s="57">
        <v>337672.4</v>
      </c>
      <c r="AZ15" s="57">
        <v>376321.72200000001</v>
      </c>
      <c r="BA15" s="53">
        <v>369134.58199999999</v>
      </c>
      <c r="BB15" s="57">
        <v>42298.248</v>
      </c>
      <c r="BC15" s="57">
        <v>74348.798999999999</v>
      </c>
      <c r="BD15" s="83">
        <v>110626.84</v>
      </c>
      <c r="BE15" s="83">
        <v>156445.92300000001</v>
      </c>
      <c r="BF15" s="83">
        <v>189865.489</v>
      </c>
      <c r="BG15" s="83">
        <v>209605.11</v>
      </c>
      <c r="BH15" s="83">
        <v>240229.69899999999</v>
      </c>
      <c r="BI15" s="83">
        <v>284805.23200000002</v>
      </c>
      <c r="BJ15" s="83">
        <v>323039.125</v>
      </c>
      <c r="BK15" s="83">
        <v>362510.95400000003</v>
      </c>
      <c r="BL15" s="83">
        <v>389058.15100000001</v>
      </c>
      <c r="BM15" s="83">
        <v>427719.34</v>
      </c>
      <c r="BN15" s="87">
        <v>363503.05699999997</v>
      </c>
      <c r="BO15" s="83">
        <v>49138.046999999999</v>
      </c>
      <c r="BP15" s="83">
        <v>86682.527000000002</v>
      </c>
      <c r="BQ15" s="121">
        <v>127549.20600000001</v>
      </c>
      <c r="BR15" s="121">
        <v>168779.52799999999</v>
      </c>
      <c r="BS15" s="121">
        <v>209220.68599999999</v>
      </c>
      <c r="BT15" s="121">
        <v>235586.59</v>
      </c>
      <c r="BU15" s="121">
        <v>283675.342</v>
      </c>
      <c r="BV15" s="121">
        <v>339142.49800000002</v>
      </c>
      <c r="BW15" s="121">
        <v>378966.96299999999</v>
      </c>
      <c r="BX15" s="121">
        <v>417721.74599999998</v>
      </c>
      <c r="BY15" s="121">
        <v>453669.86700000003</v>
      </c>
      <c r="BZ15" s="7">
        <v>490420.29800000001</v>
      </c>
      <c r="CA15" s="134">
        <v>423142.02299999999</v>
      </c>
      <c r="CB15" s="121">
        <v>57283.148999999998</v>
      </c>
      <c r="CC15" s="121">
        <v>105063.277</v>
      </c>
      <c r="CD15" s="121">
        <v>148542.31099999999</v>
      </c>
      <c r="CE15" s="121">
        <v>197970.28200000001</v>
      </c>
      <c r="CF15" s="121">
        <v>237853.098</v>
      </c>
      <c r="CG15" s="121">
        <v>275087.59700000001</v>
      </c>
      <c r="CH15" s="121">
        <v>313107.14500000002</v>
      </c>
      <c r="CI15" s="121">
        <v>366831.97499999998</v>
      </c>
      <c r="CJ15" s="121">
        <v>409119.467</v>
      </c>
      <c r="CK15" s="121">
        <v>457173.23300000001</v>
      </c>
      <c r="CL15" s="121">
        <v>492215.30900000001</v>
      </c>
      <c r="CM15" s="121">
        <v>538557.576</v>
      </c>
      <c r="CN15" s="186">
        <v>464771.45199999999</v>
      </c>
      <c r="CO15" s="173">
        <v>60362.139000000003</v>
      </c>
      <c r="CP15" s="121">
        <v>96678.002999999997</v>
      </c>
      <c r="CQ15" s="121">
        <v>141211.45600000001</v>
      </c>
      <c r="CR15" s="121">
        <v>193809.111</v>
      </c>
      <c r="CS15" s="121">
        <v>252509.95199999999</v>
      </c>
      <c r="CT15" s="121">
        <v>286635.05499999999</v>
      </c>
      <c r="CU15" s="121">
        <v>331693.21000000002</v>
      </c>
      <c r="CV15" s="121">
        <v>400920.598</v>
      </c>
      <c r="CW15" s="121">
        <v>445599.3</v>
      </c>
      <c r="CX15" s="121">
        <v>485536.38299999997</v>
      </c>
      <c r="CY15" s="121">
        <v>523647.61900000001</v>
      </c>
      <c r="CZ15" s="121">
        <v>566475.59600000002</v>
      </c>
      <c r="DA15" s="195">
        <v>523522.37400000001</v>
      </c>
      <c r="DB15" s="121">
        <v>55720.925999999999</v>
      </c>
      <c r="DC15" s="121">
        <v>114415.318</v>
      </c>
      <c r="DD15" s="121">
        <v>161944.41200000001</v>
      </c>
      <c r="DE15" s="121">
        <v>215547.44899999999</v>
      </c>
      <c r="DF15" s="121">
        <v>254598.98199999999</v>
      </c>
      <c r="DG15" s="121">
        <v>298242.37</v>
      </c>
      <c r="DH15" s="121">
        <v>340049.76299999998</v>
      </c>
      <c r="DI15" s="195">
        <v>534485.09502087301</v>
      </c>
    </row>
    <row r="16" spans="1:114" ht="15" customHeight="1">
      <c r="A16" s="9" t="s">
        <v>179</v>
      </c>
      <c r="B16" s="7">
        <v>113419.356</v>
      </c>
      <c r="C16" s="7">
        <v>333270.33299999998</v>
      </c>
      <c r="D16" s="7">
        <v>371406.837</v>
      </c>
      <c r="E16" s="7">
        <v>477216.11744</v>
      </c>
      <c r="F16" s="7">
        <v>545158.36043999996</v>
      </c>
      <c r="G16" s="7">
        <v>580570.56794999994</v>
      </c>
      <c r="H16" s="7">
        <v>834081.81594999996</v>
      </c>
      <c r="I16" s="7">
        <v>915210.43994999991</v>
      </c>
      <c r="J16" s="7">
        <v>927308.37494999997</v>
      </c>
      <c r="K16" s="7">
        <v>1033806.0949499999</v>
      </c>
      <c r="L16" s="7">
        <v>1055341.3099499999</v>
      </c>
      <c r="M16" s="7">
        <v>1131231.7990000001</v>
      </c>
      <c r="N16" s="53">
        <v>1225100</v>
      </c>
      <c r="O16" s="21">
        <v>184515.636</v>
      </c>
      <c r="P16" s="7">
        <v>443525.22</v>
      </c>
      <c r="Q16" s="7">
        <v>467470.18400000001</v>
      </c>
      <c r="R16" s="57">
        <v>650379.45600000001</v>
      </c>
      <c r="S16" s="57">
        <v>718094</v>
      </c>
      <c r="T16" s="57">
        <v>999607</v>
      </c>
      <c r="U16" s="57">
        <v>1030828.733</v>
      </c>
      <c r="V16" s="57">
        <v>1031252</v>
      </c>
      <c r="W16" s="57">
        <v>978401.897</v>
      </c>
      <c r="X16" s="57">
        <v>1129175.835</v>
      </c>
      <c r="Y16" s="57">
        <v>1138556.675</v>
      </c>
      <c r="Z16" s="57">
        <v>1320541.693</v>
      </c>
      <c r="AA16" s="53">
        <v>1142200</v>
      </c>
      <c r="AB16" s="57">
        <v>99456.307000000001</v>
      </c>
      <c r="AC16" s="57">
        <v>308828.32799999998</v>
      </c>
      <c r="AD16" s="57">
        <v>404661.24300000002</v>
      </c>
      <c r="AE16" s="57">
        <v>630271.93299999996</v>
      </c>
      <c r="AF16" s="57">
        <v>723200.34900000005</v>
      </c>
      <c r="AG16" s="57">
        <v>735459</v>
      </c>
      <c r="AH16" s="57">
        <v>1012343.027</v>
      </c>
      <c r="AI16" s="57">
        <v>1044754.301</v>
      </c>
      <c r="AJ16" s="57">
        <v>1048735.71</v>
      </c>
      <c r="AK16" s="57">
        <v>1059006.2930000001</v>
      </c>
      <c r="AL16" s="57">
        <v>1079226.7080000001</v>
      </c>
      <c r="AM16" s="57">
        <v>1283730.625</v>
      </c>
      <c r="AN16" s="53">
        <v>1219010.2609999999</v>
      </c>
      <c r="AO16" s="57">
        <v>177337.617</v>
      </c>
      <c r="AP16" s="57">
        <v>419745.63699999999</v>
      </c>
      <c r="AQ16" s="57">
        <v>443582.89899999998</v>
      </c>
      <c r="AR16" s="57">
        <v>621849.83700000006</v>
      </c>
      <c r="AS16" s="57">
        <v>659136.83799999999</v>
      </c>
      <c r="AT16" s="57">
        <v>709510.01</v>
      </c>
      <c r="AU16" s="57">
        <v>867460.52300000004</v>
      </c>
      <c r="AV16" s="57">
        <v>910316.23600000003</v>
      </c>
      <c r="AW16" s="57">
        <v>1155096.804</v>
      </c>
      <c r="AX16" s="57">
        <v>1170608.7509999999</v>
      </c>
      <c r="AY16" s="57">
        <v>1322887.8999999999</v>
      </c>
      <c r="AZ16" s="57">
        <v>1390264.9609999999</v>
      </c>
      <c r="BA16" s="53">
        <v>1222309.088</v>
      </c>
      <c r="BB16" s="57">
        <v>188666.63</v>
      </c>
      <c r="BC16" s="57">
        <v>405734.96299999999</v>
      </c>
      <c r="BD16" s="83">
        <v>430772.09</v>
      </c>
      <c r="BE16" s="83">
        <v>600695.86399999994</v>
      </c>
      <c r="BF16" s="83">
        <v>641694.76399999997</v>
      </c>
      <c r="BG16" s="83">
        <v>714635.07799999998</v>
      </c>
      <c r="BH16" s="83">
        <v>740701.46799999999</v>
      </c>
      <c r="BI16" s="83">
        <v>888452.23</v>
      </c>
      <c r="BJ16" s="83">
        <v>902372.59299999999</v>
      </c>
      <c r="BK16" s="83">
        <v>1120200.064</v>
      </c>
      <c r="BL16" s="83">
        <v>1257141.3929999999</v>
      </c>
      <c r="BM16" s="83">
        <v>1439658.567</v>
      </c>
      <c r="BN16" s="87">
        <v>1511228.5049999999</v>
      </c>
      <c r="BO16" s="83">
        <v>134202.26999999999</v>
      </c>
      <c r="BP16" s="83">
        <v>392704.20500000002</v>
      </c>
      <c r="BQ16" s="121">
        <v>401164.826</v>
      </c>
      <c r="BR16" s="121">
        <v>611677.91799999995</v>
      </c>
      <c r="BS16" s="121">
        <v>709754.51399999997</v>
      </c>
      <c r="BT16" s="121">
        <v>726756.29099999997</v>
      </c>
      <c r="BU16" s="121">
        <v>943107.91299999994</v>
      </c>
      <c r="BV16" s="121">
        <v>1016126.142</v>
      </c>
      <c r="BW16" s="121">
        <v>1064298.595</v>
      </c>
      <c r="BX16" s="121">
        <v>1080609.3640000001</v>
      </c>
      <c r="BY16" s="121">
        <v>1293980.2390000001</v>
      </c>
      <c r="BZ16" s="7">
        <v>1384582.9450000001</v>
      </c>
      <c r="CA16" s="134">
        <v>1536015.19</v>
      </c>
      <c r="CB16" s="121">
        <v>327834.74400000001</v>
      </c>
      <c r="CC16" s="121">
        <v>547831.98400000005</v>
      </c>
      <c r="CD16" s="121">
        <v>691127.95499999996</v>
      </c>
      <c r="CE16" s="121">
        <v>878177.56700000004</v>
      </c>
      <c r="CF16" s="121">
        <v>1260530.324</v>
      </c>
      <c r="CG16" s="121">
        <v>1393872.4720000001</v>
      </c>
      <c r="CH16" s="121">
        <v>1588314.7120000001</v>
      </c>
      <c r="CI16" s="121">
        <v>1688504.2209999999</v>
      </c>
      <c r="CJ16" s="121">
        <v>1707631.068</v>
      </c>
      <c r="CK16" s="121">
        <v>1718330.0519999999</v>
      </c>
      <c r="CL16" s="121">
        <v>1739856.67</v>
      </c>
      <c r="CM16" s="121">
        <v>1801451.585</v>
      </c>
      <c r="CN16" s="186">
        <v>1880651.328</v>
      </c>
      <c r="CO16" s="173">
        <v>119758.12</v>
      </c>
      <c r="CP16" s="121">
        <v>387044.00799999997</v>
      </c>
      <c r="CQ16" s="121">
        <v>472080.92499999999</v>
      </c>
      <c r="CR16" s="121">
        <v>606446.92099999997</v>
      </c>
      <c r="CS16" s="121">
        <v>1026490.608</v>
      </c>
      <c r="CT16" s="121">
        <v>1079457.226</v>
      </c>
      <c r="CU16" s="121">
        <v>1087598.6399999999</v>
      </c>
      <c r="CV16" s="121">
        <v>1277681.406</v>
      </c>
      <c r="CW16" s="121">
        <v>1289931.551</v>
      </c>
      <c r="CX16" s="121">
        <v>1297629.5870000001</v>
      </c>
      <c r="CY16" s="121">
        <v>1324815.7860000001</v>
      </c>
      <c r="CZ16" s="121">
        <v>1726378.027</v>
      </c>
      <c r="DA16" s="195">
        <v>1785482.0349999999</v>
      </c>
      <c r="DB16" s="121">
        <v>131841.73000000001</v>
      </c>
      <c r="DC16" s="121">
        <v>873461.88100000005</v>
      </c>
      <c r="DD16" s="121">
        <v>964061.84400000004</v>
      </c>
      <c r="DE16" s="121">
        <v>1004601.9840000001</v>
      </c>
      <c r="DF16" s="121">
        <v>1489362.027</v>
      </c>
      <c r="DG16" s="121">
        <v>1576377.594</v>
      </c>
      <c r="DH16" s="121">
        <v>1604575.3089999999</v>
      </c>
      <c r="DI16" s="195">
        <v>2247515.7629999998</v>
      </c>
    </row>
    <row r="17" spans="1:117" ht="15" customHeight="1">
      <c r="A17" s="9" t="s">
        <v>196</v>
      </c>
      <c r="B17" s="7">
        <v>2757.73830000001</v>
      </c>
      <c r="C17" s="7">
        <v>2996.5454599999398</v>
      </c>
      <c r="D17" s="7">
        <v>2500.0093599999159</v>
      </c>
      <c r="E17" s="7">
        <v>2334.4751000000197</v>
      </c>
      <c r="F17" s="7">
        <v>3341.9170700000095</v>
      </c>
      <c r="G17" s="7">
        <v>2359.0530700000095</v>
      </c>
      <c r="H17" s="7">
        <v>3304.1818100002765</v>
      </c>
      <c r="I17" s="7">
        <v>3137.1138800004896</v>
      </c>
      <c r="J17" s="7">
        <v>4803.4537500008901</v>
      </c>
      <c r="K17" s="7">
        <v>3573.99856000113</v>
      </c>
      <c r="L17" s="7">
        <v>3427.3069100013831</v>
      </c>
      <c r="M17" s="7">
        <v>3927.7260000000001</v>
      </c>
      <c r="N17" s="53">
        <v>2500</v>
      </c>
      <c r="O17" s="21">
        <v>1875.5260000000001</v>
      </c>
      <c r="P17" s="7">
        <v>2270.453</v>
      </c>
      <c r="Q17" s="7">
        <v>2334.25</v>
      </c>
      <c r="R17" s="57">
        <v>2021.7280000000001</v>
      </c>
      <c r="S17" s="57">
        <v>2392</v>
      </c>
      <c r="T17" s="57">
        <v>2498</v>
      </c>
      <c r="U17" s="57">
        <v>2115.6109999999999</v>
      </c>
      <c r="V17" s="57">
        <v>2601.6190000000001</v>
      </c>
      <c r="W17" s="57">
        <v>2445.451</v>
      </c>
      <c r="X17" s="57">
        <v>2753.1329999999998</v>
      </c>
      <c r="Y17" s="57">
        <v>1983.123</v>
      </c>
      <c r="Z17" s="57">
        <v>5215.5</v>
      </c>
      <c r="AA17" s="53">
        <v>2100</v>
      </c>
      <c r="AB17" s="57">
        <v>2491.4650000000001</v>
      </c>
      <c r="AC17" s="57">
        <v>2430.0450000000001</v>
      </c>
      <c r="AD17" s="57">
        <v>3288.9479999999999</v>
      </c>
      <c r="AE17" s="57">
        <v>541.327</v>
      </c>
      <c r="AF17" s="57">
        <v>2939.518</v>
      </c>
      <c r="AG17" s="57">
        <v>3099</v>
      </c>
      <c r="AH17" s="57">
        <v>2635.9580000000001</v>
      </c>
      <c r="AI17" s="57">
        <v>3145.73</v>
      </c>
      <c r="AJ17" s="57">
        <v>3771.21</v>
      </c>
      <c r="AK17" s="57">
        <v>1055.7539999999999</v>
      </c>
      <c r="AL17" s="57">
        <v>3650.7620000000002</v>
      </c>
      <c r="AM17" s="57">
        <v>5853.2389999999996</v>
      </c>
      <c r="AN17" s="53">
        <v>1100.0000000001401</v>
      </c>
      <c r="AO17" s="57">
        <v>115.408</v>
      </c>
      <c r="AP17" s="57">
        <v>327.77100000000002</v>
      </c>
      <c r="AQ17" s="57">
        <v>386.42700000000002</v>
      </c>
      <c r="AR17" s="57">
        <v>488.303</v>
      </c>
      <c r="AS17" s="57">
        <v>541.14499999999998</v>
      </c>
      <c r="AT17" s="57">
        <v>643.298</v>
      </c>
      <c r="AU17" s="57">
        <v>2312.5529999999999</v>
      </c>
      <c r="AV17" s="57">
        <v>855.03899999999999</v>
      </c>
      <c r="AW17" s="57">
        <v>897.17899999999997</v>
      </c>
      <c r="AX17" s="57">
        <v>950</v>
      </c>
      <c r="AY17" s="57">
        <v>1091.9000000000001</v>
      </c>
      <c r="AZ17" s="57">
        <v>651.9</v>
      </c>
      <c r="BA17" s="53">
        <v>2500.0000000004502</v>
      </c>
      <c r="BB17" s="57">
        <v>130.154</v>
      </c>
      <c r="BC17" s="57">
        <v>371.52300000000002</v>
      </c>
      <c r="BD17" s="83">
        <v>736.02800000000002</v>
      </c>
      <c r="BE17" s="83">
        <v>589.54200000000003</v>
      </c>
      <c r="BF17" s="83">
        <v>661.35599999999999</v>
      </c>
      <c r="BG17" s="83">
        <v>889.30600000000004</v>
      </c>
      <c r="BH17" s="83">
        <v>1137.6980000000001</v>
      </c>
      <c r="BI17" s="83">
        <v>1209.2840000000001</v>
      </c>
      <c r="BJ17" s="83">
        <v>1164.3710000000001</v>
      </c>
      <c r="BK17" s="83">
        <v>1212.5940000000001</v>
      </c>
      <c r="BL17" s="83">
        <v>1759.575</v>
      </c>
      <c r="BM17" s="83">
        <v>1608.432</v>
      </c>
      <c r="BN17" s="87">
        <v>600.00000000059094</v>
      </c>
      <c r="BO17" s="83">
        <v>96.79</v>
      </c>
      <c r="BP17" s="83">
        <v>177.93299999999999</v>
      </c>
      <c r="BQ17" s="121">
        <v>555.97400000000005</v>
      </c>
      <c r="BR17" s="121">
        <v>691.89800000000002</v>
      </c>
      <c r="BS17" s="121">
        <v>784.86599999999999</v>
      </c>
      <c r="BT17" s="121">
        <v>925.85</v>
      </c>
      <c r="BU17" s="121">
        <v>1060.6469999999999</v>
      </c>
      <c r="BV17" s="121">
        <v>1186.309</v>
      </c>
      <c r="BW17" s="121">
        <v>1602.232</v>
      </c>
      <c r="BX17" s="121">
        <v>1573.838</v>
      </c>
      <c r="BY17" s="121">
        <v>2114.5990000000002</v>
      </c>
      <c r="BZ17" s="7">
        <v>2067.9319999999998</v>
      </c>
      <c r="CA17" s="134">
        <v>700.00000000231921</v>
      </c>
      <c r="CB17" s="121">
        <v>114.06399999999999</v>
      </c>
      <c r="CC17" s="121">
        <v>173.26</v>
      </c>
      <c r="CD17" s="121">
        <v>401.23899999999998</v>
      </c>
      <c r="CE17" s="121">
        <v>538.52700000000004</v>
      </c>
      <c r="CF17" s="121">
        <v>733.08900000000006</v>
      </c>
      <c r="CG17" s="121">
        <v>940.43299999999999</v>
      </c>
      <c r="CH17" s="121">
        <v>1038.163</v>
      </c>
      <c r="CI17" s="121">
        <v>1276.655</v>
      </c>
      <c r="CJ17" s="121">
        <v>1380.8979999999999</v>
      </c>
      <c r="CK17" s="121">
        <v>1559.1880000000001</v>
      </c>
      <c r="CL17" s="121">
        <v>1746.5809999999999</v>
      </c>
      <c r="CM17" s="121">
        <v>2178.6480000000001</v>
      </c>
      <c r="CN17" s="186">
        <v>1200.0000000034561</v>
      </c>
      <c r="CO17" s="173">
        <v>347.488</v>
      </c>
      <c r="CP17" s="121">
        <v>197.88</v>
      </c>
      <c r="CQ17" s="121">
        <v>524.43600000000004</v>
      </c>
      <c r="CR17" s="121">
        <v>635.68100000000004</v>
      </c>
      <c r="CS17" s="121">
        <v>806.61199999999997</v>
      </c>
      <c r="CT17" s="121">
        <v>1001.12</v>
      </c>
      <c r="CU17" s="121">
        <v>1077.758</v>
      </c>
      <c r="CV17" s="121">
        <v>1634.1610000000001</v>
      </c>
      <c r="CW17" s="121">
        <v>1723.9960000000001</v>
      </c>
      <c r="CX17" s="121">
        <v>2120.8980000000001</v>
      </c>
      <c r="CY17" s="121">
        <v>2298.0439999999999</v>
      </c>
      <c r="CZ17" s="121">
        <v>2582.5810000000001</v>
      </c>
      <c r="DA17" s="195">
        <v>1300.0000000006366</v>
      </c>
      <c r="DB17" s="121">
        <v>83.736999999999995</v>
      </c>
      <c r="DC17" s="121">
        <v>229.62799999999999</v>
      </c>
      <c r="DD17" s="121">
        <v>365.15100000000001</v>
      </c>
      <c r="DE17" s="121">
        <v>432.41699999999997</v>
      </c>
      <c r="DF17" s="121">
        <v>684.03099999999995</v>
      </c>
      <c r="DG17" s="121">
        <v>670.14</v>
      </c>
      <c r="DH17" s="121">
        <v>845.21299999999997</v>
      </c>
      <c r="DI17" s="195">
        <v>999.99999999954503</v>
      </c>
    </row>
    <row r="18" spans="1:117" ht="15" customHeight="1">
      <c r="A18" s="8" t="s">
        <v>7</v>
      </c>
      <c r="B18" s="5">
        <v>706952.70924999902</v>
      </c>
      <c r="C18" s="5">
        <v>1494442.3026000001</v>
      </c>
      <c r="D18" s="5">
        <v>2306493.5912100002</v>
      </c>
      <c r="E18" s="5">
        <v>3222991.3809200004</v>
      </c>
      <c r="F18" s="5">
        <v>4011445.9249600004</v>
      </c>
      <c r="G18" s="5">
        <v>4933119.6409600005</v>
      </c>
      <c r="H18" s="5">
        <v>5820049.1076800013</v>
      </c>
      <c r="I18" s="5">
        <v>6675687.5381800011</v>
      </c>
      <c r="J18" s="5">
        <v>7492135.9674400007</v>
      </c>
      <c r="K18" s="5">
        <v>8560253.9768600017</v>
      </c>
      <c r="L18" s="5">
        <v>9607726.1647400018</v>
      </c>
      <c r="M18" s="5">
        <f>M19+M20+M21+M22+M23+M24+M25</f>
        <v>11098028.283999998</v>
      </c>
      <c r="N18" s="56">
        <v>10861200</v>
      </c>
      <c r="O18" s="18">
        <f t="shared" ref="O18:AG18" si="29">O19+O20+O21+O22+O23+O24+O25</f>
        <v>802049.35100000002</v>
      </c>
      <c r="P18" s="5">
        <f t="shared" si="29"/>
        <v>1699664.548</v>
      </c>
      <c r="Q18" s="5">
        <f t="shared" si="29"/>
        <v>2516606.2450000001</v>
      </c>
      <c r="R18" s="5">
        <f t="shared" si="29"/>
        <v>3445206.4039999996</v>
      </c>
      <c r="S18" s="5">
        <f t="shared" si="29"/>
        <v>4312679.1330000004</v>
      </c>
      <c r="T18" s="5">
        <f t="shared" si="29"/>
        <v>5227748</v>
      </c>
      <c r="U18" s="5">
        <f t="shared" si="29"/>
        <v>6200080.6809999999</v>
      </c>
      <c r="V18" s="5">
        <f t="shared" si="29"/>
        <v>7055015.0839999998</v>
      </c>
      <c r="W18" s="5">
        <f t="shared" si="29"/>
        <v>7919591.6780000003</v>
      </c>
      <c r="X18" s="5">
        <f t="shared" si="29"/>
        <v>8998490.2170000002</v>
      </c>
      <c r="Y18" s="5">
        <f t="shared" si="29"/>
        <v>9993478.4220000021</v>
      </c>
      <c r="Z18" s="5">
        <f t="shared" si="29"/>
        <v>11531971.323999999</v>
      </c>
      <c r="AA18" s="56">
        <v>11413300</v>
      </c>
      <c r="AB18" s="5">
        <f t="shared" si="29"/>
        <v>878360.09499999997</v>
      </c>
      <c r="AC18" s="5">
        <f t="shared" si="29"/>
        <v>1778636.2350000001</v>
      </c>
      <c r="AD18" s="75">
        <v>2713903.1500000004</v>
      </c>
      <c r="AE18" s="5">
        <f t="shared" si="29"/>
        <v>3804869.0759999999</v>
      </c>
      <c r="AF18" s="5">
        <f t="shared" si="29"/>
        <v>4650494.148</v>
      </c>
      <c r="AG18" s="5">
        <f t="shared" si="29"/>
        <v>5658132</v>
      </c>
      <c r="AH18" s="75">
        <f>SUM(AH19:AH25)</f>
        <v>6657855.1000000006</v>
      </c>
      <c r="AI18" s="75">
        <f>SUM(AI19:AI25)</f>
        <v>7609776.3210000005</v>
      </c>
      <c r="AJ18" s="75">
        <f>SUM(AJ19:AJ25)</f>
        <v>8588552.1410000008</v>
      </c>
      <c r="AK18" s="75">
        <f>SUM(AK19:AK25)</f>
        <v>9734567.0380000006</v>
      </c>
      <c r="AL18" s="75">
        <f>SUM(AL19:AL25)</f>
        <v>10762965.878</v>
      </c>
      <c r="AM18" s="75">
        <f t="shared" ref="AM18:BA18" si="30">SUM(AM19:AM25)</f>
        <v>12469399.772999998</v>
      </c>
      <c r="AN18" s="56">
        <v>12041588.210332099</v>
      </c>
      <c r="AO18" s="75">
        <f t="shared" si="30"/>
        <v>855571.82099999988</v>
      </c>
      <c r="AP18" s="75">
        <f t="shared" si="30"/>
        <v>1975642.6710000001</v>
      </c>
      <c r="AQ18" s="75">
        <f t="shared" si="30"/>
        <v>3331400.7910000002</v>
      </c>
      <c r="AR18" s="75">
        <f t="shared" si="30"/>
        <v>4605063.9380000001</v>
      </c>
      <c r="AS18" s="75">
        <f t="shared" si="30"/>
        <v>5665517.2240000004</v>
      </c>
      <c r="AT18" s="75">
        <f t="shared" si="30"/>
        <v>6965369.2889999999</v>
      </c>
      <c r="AU18" s="75">
        <f t="shared" si="30"/>
        <v>8047350.585</v>
      </c>
      <c r="AV18" s="75">
        <f t="shared" si="30"/>
        <v>9064852.6780000012</v>
      </c>
      <c r="AW18" s="75">
        <f t="shared" si="30"/>
        <v>10129243.697000001</v>
      </c>
      <c r="AX18" s="75">
        <f t="shared" si="30"/>
        <v>11303140.323000001</v>
      </c>
      <c r="AY18" s="75">
        <f>SUM(AY19:AY25)</f>
        <v>12485195.877</v>
      </c>
      <c r="AZ18" s="75">
        <f>SUM(AZ19:AZ25)</f>
        <v>14400572.726</v>
      </c>
      <c r="BA18" s="56">
        <f t="shared" si="30"/>
        <v>12771200.62569689</v>
      </c>
      <c r="BB18" s="75">
        <f t="shared" ref="BB18:CN18" si="31">SUM(BB19:BB25)</f>
        <v>1011780.956</v>
      </c>
      <c r="BC18" s="75">
        <f t="shared" si="31"/>
        <v>2186364.8130000001</v>
      </c>
      <c r="BD18" s="75">
        <f t="shared" si="31"/>
        <v>3428433.3459999999</v>
      </c>
      <c r="BE18" s="75">
        <f t="shared" si="31"/>
        <v>4615774.8030000003</v>
      </c>
      <c r="BF18" s="75">
        <f t="shared" si="31"/>
        <v>5839912.1259999992</v>
      </c>
      <c r="BG18" s="75">
        <f t="shared" si="31"/>
        <v>7011962.7009999985</v>
      </c>
      <c r="BH18" s="75">
        <f>SUM(BH19:BH25)</f>
        <v>8100611.3030000012</v>
      </c>
      <c r="BI18" s="75">
        <f>SUM(BI19:BI25)</f>
        <v>9205300.7259999998</v>
      </c>
      <c r="BJ18" s="75">
        <f t="shared" si="31"/>
        <v>10618687.93</v>
      </c>
      <c r="BK18" s="75">
        <f t="shared" si="31"/>
        <v>12162271.003</v>
      </c>
      <c r="BL18" s="75">
        <f t="shared" si="31"/>
        <v>13493625.718</v>
      </c>
      <c r="BM18" s="75">
        <f t="shared" si="31"/>
        <v>15724536.320999999</v>
      </c>
      <c r="BN18" s="56">
        <f t="shared" si="31"/>
        <v>14650418.194082916</v>
      </c>
      <c r="BO18" s="75">
        <f t="shared" si="31"/>
        <v>1084456.317</v>
      </c>
      <c r="BP18" s="118">
        <f t="shared" si="31"/>
        <v>2495260.5719999997</v>
      </c>
      <c r="BQ18" s="75">
        <f t="shared" si="31"/>
        <v>3848574.1860000002</v>
      </c>
      <c r="BR18" s="75">
        <f t="shared" si="31"/>
        <v>5149202.0640000002</v>
      </c>
      <c r="BS18" s="75">
        <f t="shared" si="31"/>
        <v>6434713.3619999997</v>
      </c>
      <c r="BT18" s="75">
        <f t="shared" si="31"/>
        <v>7821776.0310000004</v>
      </c>
      <c r="BU18" s="75">
        <f t="shared" si="31"/>
        <v>9055534.4979999997</v>
      </c>
      <c r="BV18" s="75">
        <f t="shared" si="31"/>
        <v>10332846.496000001</v>
      </c>
      <c r="BW18" s="75">
        <f t="shared" si="31"/>
        <v>11561050.483999997</v>
      </c>
      <c r="BX18" s="75">
        <f t="shared" si="31"/>
        <v>12977494.878</v>
      </c>
      <c r="BY18" s="129">
        <f t="shared" si="31"/>
        <v>14448599.523</v>
      </c>
      <c r="BZ18" s="5">
        <f t="shared" si="31"/>
        <v>16964660.367000002</v>
      </c>
      <c r="CA18" s="136">
        <v>17091904.921229731</v>
      </c>
      <c r="CB18" s="132">
        <f t="shared" si="31"/>
        <v>1303627.6510000001</v>
      </c>
      <c r="CC18" s="125">
        <f t="shared" si="31"/>
        <v>2731545.2600000002</v>
      </c>
      <c r="CD18" s="125">
        <f t="shared" si="31"/>
        <v>4054338.2260000003</v>
      </c>
      <c r="CE18" s="125">
        <f t="shared" si="31"/>
        <v>5607641.7679999992</v>
      </c>
      <c r="CF18" s="125">
        <f t="shared" si="31"/>
        <v>6970185.868999999</v>
      </c>
      <c r="CG18" s="125">
        <f t="shared" si="31"/>
        <v>8409058.0969999991</v>
      </c>
      <c r="CH18" s="125">
        <f t="shared" si="31"/>
        <v>9901781.2630000003</v>
      </c>
      <c r="CI18" s="125">
        <f t="shared" si="31"/>
        <v>11216402.850000001</v>
      </c>
      <c r="CJ18" s="125">
        <f t="shared" si="31"/>
        <v>12520953.319000002</v>
      </c>
      <c r="CK18" s="125">
        <f t="shared" si="31"/>
        <v>14099120.514</v>
      </c>
      <c r="CL18" s="125">
        <f t="shared" si="31"/>
        <v>15606024.477000002</v>
      </c>
      <c r="CM18" s="125">
        <f>SUM(CM19:CM25)</f>
        <v>17878832.484000001</v>
      </c>
      <c r="CN18" s="185">
        <f t="shared" si="31"/>
        <v>18898978.871600628</v>
      </c>
      <c r="CO18" s="190">
        <f t="shared" ref="CO18:CZ18" si="32">SUM(CO19:CO25)</f>
        <v>1413198.9710000001</v>
      </c>
      <c r="CP18" s="125">
        <f t="shared" si="32"/>
        <v>2960540.12</v>
      </c>
      <c r="CQ18" s="125">
        <f t="shared" si="32"/>
        <v>4574848.21</v>
      </c>
      <c r="CR18" s="125">
        <f t="shared" si="32"/>
        <v>6228056.3050000006</v>
      </c>
      <c r="CS18" s="125">
        <f t="shared" si="32"/>
        <v>7642821.5800000001</v>
      </c>
      <c r="CT18" s="125">
        <f t="shared" si="32"/>
        <v>9183751.4640000015</v>
      </c>
      <c r="CU18" s="125">
        <f t="shared" si="32"/>
        <v>10774054.368999999</v>
      </c>
      <c r="CV18" s="125">
        <f t="shared" si="32"/>
        <v>12221597.070999999</v>
      </c>
      <c r="CW18" s="125">
        <f t="shared" si="32"/>
        <v>13760949.125</v>
      </c>
      <c r="CX18" s="125">
        <f t="shared" si="32"/>
        <v>15420856.638</v>
      </c>
      <c r="CY18" s="125">
        <f t="shared" si="32"/>
        <v>16978053.830000002</v>
      </c>
      <c r="CZ18" s="125">
        <f t="shared" si="32"/>
        <v>19518423.423999999</v>
      </c>
      <c r="DA18" s="194">
        <f t="shared" ref="DA18:DI18" si="33">SUM(DA19:DA25)</f>
        <v>19886976.093416795</v>
      </c>
      <c r="DB18" s="75">
        <f t="shared" si="33"/>
        <v>1523437.9620000003</v>
      </c>
      <c r="DC18" s="75">
        <f t="shared" si="33"/>
        <v>3118292.281</v>
      </c>
      <c r="DD18" s="75">
        <f t="shared" si="33"/>
        <v>4779018.9570000004</v>
      </c>
      <c r="DE18" s="75">
        <f t="shared" si="33"/>
        <v>6352561.4369999999</v>
      </c>
      <c r="DF18" s="75">
        <f t="shared" si="33"/>
        <v>7905794.3909999998</v>
      </c>
      <c r="DG18" s="75">
        <f t="shared" si="33"/>
        <v>9596071.4450000022</v>
      </c>
      <c r="DH18" s="75">
        <f t="shared" si="33"/>
        <v>11371046.26</v>
      </c>
      <c r="DI18" s="194">
        <f t="shared" si="33"/>
        <v>20854068.797307841</v>
      </c>
      <c r="DJ18" s="285"/>
      <c r="DK18" s="285"/>
    </row>
    <row r="19" spans="1:117" s="116" customFormat="1" ht="15" customHeight="1">
      <c r="A19" s="138" t="s">
        <v>8</v>
      </c>
      <c r="B19" s="115">
        <v>115384.25697</v>
      </c>
      <c r="C19" s="115">
        <v>305009.92566000001</v>
      </c>
      <c r="D19" s="115">
        <v>504517.44844000001</v>
      </c>
      <c r="E19" s="115">
        <v>701515.55712999997</v>
      </c>
      <c r="F19" s="115">
        <v>904806.19543999992</v>
      </c>
      <c r="G19" s="115">
        <v>1179546.6514399999</v>
      </c>
      <c r="H19" s="115">
        <v>1389284.2918399998</v>
      </c>
      <c r="I19" s="115">
        <v>1561429.1473599998</v>
      </c>
      <c r="J19" s="115">
        <v>1728687.9439699999</v>
      </c>
      <c r="K19" s="115">
        <v>1930394.5707999999</v>
      </c>
      <c r="L19" s="115">
        <v>2155135.8222599998</v>
      </c>
      <c r="M19" s="115">
        <v>2452086.804</v>
      </c>
      <c r="N19" s="139">
        <v>2456500</v>
      </c>
      <c r="O19" s="140">
        <v>149668.239</v>
      </c>
      <c r="P19" s="115">
        <v>356505.43099999998</v>
      </c>
      <c r="Q19" s="115">
        <v>560968.272</v>
      </c>
      <c r="R19" s="141">
        <v>771999.777</v>
      </c>
      <c r="S19" s="141">
        <v>992333.15800000005</v>
      </c>
      <c r="T19" s="141">
        <v>1269882</v>
      </c>
      <c r="U19" s="141">
        <v>1495737.6950000001</v>
      </c>
      <c r="V19" s="141">
        <v>1675727.547</v>
      </c>
      <c r="W19" s="141">
        <v>1854987.452</v>
      </c>
      <c r="X19" s="141">
        <v>2065448.38</v>
      </c>
      <c r="Y19" s="141">
        <v>2298011.827</v>
      </c>
      <c r="Z19" s="141">
        <v>2611887.0589999999</v>
      </c>
      <c r="AA19" s="139">
        <v>2670500</v>
      </c>
      <c r="AB19" s="141">
        <v>140793.06899999999</v>
      </c>
      <c r="AC19" s="141">
        <v>351073.09899999999</v>
      </c>
      <c r="AD19" s="141">
        <v>569415.74800000002</v>
      </c>
      <c r="AE19" s="141">
        <v>802451.66200000001</v>
      </c>
      <c r="AF19" s="141">
        <v>1014625.571</v>
      </c>
      <c r="AG19" s="141">
        <v>1296503</v>
      </c>
      <c r="AH19" s="141">
        <v>1532442.575</v>
      </c>
      <c r="AI19" s="141">
        <v>1719476.371</v>
      </c>
      <c r="AJ19" s="141">
        <v>1916868.8489999999</v>
      </c>
      <c r="AK19" s="141">
        <v>2136406.0440000002</v>
      </c>
      <c r="AL19" s="141">
        <v>2372423.4720000001</v>
      </c>
      <c r="AM19" s="141">
        <v>2712062.486</v>
      </c>
      <c r="AN19" s="139">
        <v>2749575.7464447999</v>
      </c>
      <c r="AO19" s="141">
        <v>140431.39600000001</v>
      </c>
      <c r="AP19" s="141">
        <v>367142.364</v>
      </c>
      <c r="AQ19" s="141">
        <v>608046.53300000005</v>
      </c>
      <c r="AR19" s="141">
        <v>857184.86399999994</v>
      </c>
      <c r="AS19" s="141">
        <v>1094513.1100000001</v>
      </c>
      <c r="AT19" s="141">
        <v>1431533.3870000001</v>
      </c>
      <c r="AU19" s="141">
        <v>1667374.4779999999</v>
      </c>
      <c r="AV19" s="141">
        <v>1869766.031</v>
      </c>
      <c r="AW19" s="141">
        <v>2081157.865</v>
      </c>
      <c r="AX19" s="141">
        <v>2314198.7740000002</v>
      </c>
      <c r="AY19" s="141">
        <v>2566123.273</v>
      </c>
      <c r="AZ19" s="141">
        <v>2939640.2310000001</v>
      </c>
      <c r="BA19" s="139">
        <v>2812262.2110514101</v>
      </c>
      <c r="BB19" s="141">
        <v>148501.04300000001</v>
      </c>
      <c r="BC19" s="84">
        <v>378456.45199999999</v>
      </c>
      <c r="BD19" s="84">
        <v>613178.67299999995</v>
      </c>
      <c r="BE19" s="84">
        <v>864179.73300000001</v>
      </c>
      <c r="BF19" s="84">
        <v>1126419.3419999999</v>
      </c>
      <c r="BG19" s="84">
        <v>1456375.392</v>
      </c>
      <c r="BH19" s="84">
        <v>1726714.922</v>
      </c>
      <c r="BI19" s="84">
        <v>1941058.517</v>
      </c>
      <c r="BJ19" s="84">
        <v>2171715.0660000001</v>
      </c>
      <c r="BK19" s="84">
        <v>2426677.5989999999</v>
      </c>
      <c r="BL19" s="84">
        <v>2700849.4649999999</v>
      </c>
      <c r="BM19" s="84">
        <v>3120170.9890000001</v>
      </c>
      <c r="BN19" s="139">
        <v>3028196.6854385599</v>
      </c>
      <c r="BO19" s="142">
        <v>162519.83900000001</v>
      </c>
      <c r="BP19" s="142">
        <v>430687.723</v>
      </c>
      <c r="BQ19" s="142">
        <v>711562.55299999996</v>
      </c>
      <c r="BR19" s="142">
        <v>992003.07900000003</v>
      </c>
      <c r="BS19" s="142">
        <v>1282133.3810000001</v>
      </c>
      <c r="BT19" s="142">
        <v>1675695.916</v>
      </c>
      <c r="BU19" s="142">
        <v>1976955.3149999999</v>
      </c>
      <c r="BV19" s="142">
        <v>2234711.017</v>
      </c>
      <c r="BW19" s="142">
        <v>2500117.2420000001</v>
      </c>
      <c r="BX19" s="142">
        <v>2801526.1940000001</v>
      </c>
      <c r="BY19" s="143">
        <v>3122966.8530000001</v>
      </c>
      <c r="BZ19" s="115">
        <v>3601429.7140000002</v>
      </c>
      <c r="CA19" s="144">
        <v>3493956.408324074</v>
      </c>
      <c r="CB19" s="143">
        <v>223838.76</v>
      </c>
      <c r="CC19" s="143">
        <v>547494.39</v>
      </c>
      <c r="CD19" s="143">
        <v>874207.36699999997</v>
      </c>
      <c r="CE19" s="143">
        <v>1199898.5330000001</v>
      </c>
      <c r="CF19" s="143">
        <v>1548076.8670000001</v>
      </c>
      <c r="CG19" s="143">
        <v>1974262.4939999999</v>
      </c>
      <c r="CH19" s="143">
        <v>2328986.6690000002</v>
      </c>
      <c r="CI19" s="143">
        <v>2622311.2250000001</v>
      </c>
      <c r="CJ19" s="143">
        <v>2907771.9950000001</v>
      </c>
      <c r="CK19" s="143">
        <v>3239854.1549999998</v>
      </c>
      <c r="CL19" s="143">
        <v>3590729.2480000001</v>
      </c>
      <c r="CM19" s="143">
        <v>4083867.9739999999</v>
      </c>
      <c r="CN19" s="187">
        <v>3950968.6030028192</v>
      </c>
      <c r="CO19" s="191">
        <v>227203</v>
      </c>
      <c r="CP19" s="121">
        <v>565393.06299999997</v>
      </c>
      <c r="CQ19" s="143">
        <v>903125.47400000005</v>
      </c>
      <c r="CR19" s="143">
        <v>1285282.9680000001</v>
      </c>
      <c r="CS19" s="143">
        <v>1631010.8219999999</v>
      </c>
      <c r="CT19" s="143">
        <v>2076698.054</v>
      </c>
      <c r="CU19" s="143">
        <v>2464851.7059999998</v>
      </c>
      <c r="CV19" s="143">
        <v>2784581.5010000002</v>
      </c>
      <c r="CW19" s="143">
        <v>3093818.6639999999</v>
      </c>
      <c r="CX19" s="143">
        <v>3457365.497</v>
      </c>
      <c r="CY19" s="143">
        <v>3815918.2749999999</v>
      </c>
      <c r="CZ19" s="143">
        <v>4346264.47</v>
      </c>
      <c r="DA19" s="196">
        <v>4296827.0471847402</v>
      </c>
      <c r="DB19" s="121">
        <v>233264.603</v>
      </c>
      <c r="DC19" s="121">
        <v>580784.554</v>
      </c>
      <c r="DD19" s="121">
        <v>933409.54700000002</v>
      </c>
      <c r="DE19" s="121">
        <v>1312775.1159999999</v>
      </c>
      <c r="DF19" s="121">
        <v>1680179.112</v>
      </c>
      <c r="DG19" s="121">
        <v>2141229.8280000002</v>
      </c>
      <c r="DH19" s="121">
        <v>2543827.1170000001</v>
      </c>
      <c r="DI19" s="196">
        <v>4505227.0607952401</v>
      </c>
    </row>
    <row r="20" spans="1:117" ht="15" customHeight="1">
      <c r="A20" s="9" t="s">
        <v>9</v>
      </c>
      <c r="B20" s="7">
        <v>103736.14101000001</v>
      </c>
      <c r="C20" s="7">
        <v>203203.90284</v>
      </c>
      <c r="D20" s="7">
        <v>313369.04654000001</v>
      </c>
      <c r="E20" s="7">
        <v>424613.11703000002</v>
      </c>
      <c r="F20" s="7">
        <v>542146.87201000005</v>
      </c>
      <c r="G20" s="7">
        <v>669131.88701000006</v>
      </c>
      <c r="H20" s="7">
        <v>784296.51963000011</v>
      </c>
      <c r="I20" s="7">
        <v>890608.18761000014</v>
      </c>
      <c r="J20" s="7">
        <v>1007918.5363200002</v>
      </c>
      <c r="K20" s="7">
        <v>1132739.7478100001</v>
      </c>
      <c r="L20" s="7">
        <v>1306140.5943</v>
      </c>
      <c r="M20" s="7">
        <v>1533157.1769999999</v>
      </c>
      <c r="N20" s="53">
        <v>1538200</v>
      </c>
      <c r="O20" s="21">
        <v>103979.974</v>
      </c>
      <c r="P20" s="7">
        <v>219586.22399999999</v>
      </c>
      <c r="Q20" s="7">
        <v>331914.27299999999</v>
      </c>
      <c r="R20" s="57">
        <v>443987.92599999998</v>
      </c>
      <c r="S20" s="57">
        <v>562051.17700000003</v>
      </c>
      <c r="T20" s="57">
        <v>674167</v>
      </c>
      <c r="U20" s="57">
        <v>788187.12300000002</v>
      </c>
      <c r="V20" s="57">
        <v>899905.62600000005</v>
      </c>
      <c r="W20" s="57">
        <v>1009092.862</v>
      </c>
      <c r="X20" s="57">
        <v>1146649.1740000001</v>
      </c>
      <c r="Y20" s="57">
        <v>1290888.4410000001</v>
      </c>
      <c r="Z20" s="57">
        <v>1509676.4040000001</v>
      </c>
      <c r="AA20" s="53">
        <v>1459100</v>
      </c>
      <c r="AB20" s="57">
        <v>106252.052</v>
      </c>
      <c r="AC20" s="57">
        <v>212646.245</v>
      </c>
      <c r="AD20" s="57">
        <v>326282.03399999999</v>
      </c>
      <c r="AE20" s="57">
        <v>429365.35600000003</v>
      </c>
      <c r="AF20" s="57">
        <v>525014.848</v>
      </c>
      <c r="AG20" s="57">
        <v>633200</v>
      </c>
      <c r="AH20" s="57">
        <v>772639.54</v>
      </c>
      <c r="AI20" s="57">
        <v>876705.929</v>
      </c>
      <c r="AJ20" s="57">
        <v>991993.07400000002</v>
      </c>
      <c r="AK20" s="57">
        <v>1122603.942</v>
      </c>
      <c r="AL20" s="57">
        <v>1254014.4920000001</v>
      </c>
      <c r="AM20" s="57">
        <v>1476224.2080000001</v>
      </c>
      <c r="AN20" s="53">
        <v>1503760.64288657</v>
      </c>
      <c r="AO20" s="57">
        <v>86644.277000000002</v>
      </c>
      <c r="AP20" s="57">
        <v>194249.55499999999</v>
      </c>
      <c r="AQ20" s="57">
        <v>309178.62599999999</v>
      </c>
      <c r="AR20" s="57">
        <v>424301.37199999997</v>
      </c>
      <c r="AS20" s="57">
        <v>536011.28399999999</v>
      </c>
      <c r="AT20" s="57">
        <v>672441.62399999995</v>
      </c>
      <c r="AU20" s="57">
        <v>787004.79</v>
      </c>
      <c r="AV20" s="57">
        <v>897254.17</v>
      </c>
      <c r="AW20" s="57">
        <v>1025769.526</v>
      </c>
      <c r="AX20" s="57">
        <v>1151508.6370000001</v>
      </c>
      <c r="AY20" s="57">
        <v>1304223.473</v>
      </c>
      <c r="AZ20" s="57">
        <v>1559455.571</v>
      </c>
      <c r="BA20" s="53">
        <v>1598194.3130000001</v>
      </c>
      <c r="BB20" s="57">
        <v>132102.25899999999</v>
      </c>
      <c r="BC20" s="83">
        <v>258014.77299999999</v>
      </c>
      <c r="BD20" s="83">
        <v>398970.68900000001</v>
      </c>
      <c r="BE20" s="83">
        <v>535666.80500000005</v>
      </c>
      <c r="BF20" s="83">
        <v>684947.36600000004</v>
      </c>
      <c r="BG20" s="83">
        <v>828549.91</v>
      </c>
      <c r="BH20" s="83">
        <v>969095.28799999994</v>
      </c>
      <c r="BI20" s="83">
        <v>1102230</v>
      </c>
      <c r="BJ20" s="83">
        <v>1442544.0449999999</v>
      </c>
      <c r="BK20" s="83">
        <v>1824265.165</v>
      </c>
      <c r="BL20" s="83">
        <v>1991536.102</v>
      </c>
      <c r="BM20" s="83">
        <v>2313237.1039999998</v>
      </c>
      <c r="BN20" s="53">
        <v>1612879.044</v>
      </c>
      <c r="BO20" s="86">
        <v>152720.13699999999</v>
      </c>
      <c r="BP20" s="86">
        <v>306151.26699999999</v>
      </c>
      <c r="BQ20" s="86">
        <v>479817.67</v>
      </c>
      <c r="BR20" s="86">
        <v>631839.67299999995</v>
      </c>
      <c r="BS20" s="86">
        <v>780364.20700000005</v>
      </c>
      <c r="BT20" s="86">
        <v>933803.52500000002</v>
      </c>
      <c r="BU20" s="86">
        <v>1086224.7609999999</v>
      </c>
      <c r="BV20" s="86">
        <v>1244661.5009999999</v>
      </c>
      <c r="BW20" s="86">
        <v>1415234.193</v>
      </c>
      <c r="BX20" s="86">
        <v>1591212.0870000001</v>
      </c>
      <c r="BY20" s="121">
        <v>1773996.287</v>
      </c>
      <c r="BZ20" s="7">
        <v>2317949.4679999999</v>
      </c>
      <c r="CA20" s="134">
        <v>2004794.21</v>
      </c>
      <c r="CB20" s="121">
        <v>159800.26199999999</v>
      </c>
      <c r="CC20" s="121">
        <v>320454.00400000002</v>
      </c>
      <c r="CD20" s="121">
        <v>458266.25</v>
      </c>
      <c r="CE20" s="121">
        <v>612620.72</v>
      </c>
      <c r="CF20" s="121">
        <v>765282.66</v>
      </c>
      <c r="CG20" s="121">
        <v>926972.39899999998</v>
      </c>
      <c r="CH20" s="121">
        <v>1079714.0390000001</v>
      </c>
      <c r="CI20" s="121">
        <v>1221992.18</v>
      </c>
      <c r="CJ20" s="121">
        <v>1383445.406</v>
      </c>
      <c r="CK20" s="121">
        <v>1565147.655</v>
      </c>
      <c r="CL20" s="121">
        <v>1775125.2120000001</v>
      </c>
      <c r="CM20" s="121">
        <v>2135888.3990000002</v>
      </c>
      <c r="CN20" s="186">
        <v>1929016.0550000002</v>
      </c>
      <c r="CO20" s="173">
        <v>143305.693</v>
      </c>
      <c r="CP20" s="121">
        <v>416438.397</v>
      </c>
      <c r="CQ20" s="121">
        <v>585395.21699999995</v>
      </c>
      <c r="CR20" s="121">
        <v>743907.66</v>
      </c>
      <c r="CS20" s="121">
        <v>900701.01500000001</v>
      </c>
      <c r="CT20" s="121">
        <v>1083095.3540000001</v>
      </c>
      <c r="CU20" s="121">
        <v>1252273.7109999999</v>
      </c>
      <c r="CV20" s="121">
        <v>1401796.88</v>
      </c>
      <c r="CW20" s="121">
        <v>1589154.4550000001</v>
      </c>
      <c r="CX20" s="121">
        <v>1766643.6850000001</v>
      </c>
      <c r="CY20" s="121">
        <v>1969144.8230000001</v>
      </c>
      <c r="CZ20" s="121">
        <v>2335315.463</v>
      </c>
      <c r="DA20" s="195">
        <v>2284168.8613589602</v>
      </c>
      <c r="DB20" s="121">
        <v>143724.49900000001</v>
      </c>
      <c r="DC20" s="121">
        <v>313570.10800000001</v>
      </c>
      <c r="DD20" s="121">
        <v>510024.35</v>
      </c>
      <c r="DE20" s="121">
        <v>684603.63800000004</v>
      </c>
      <c r="DF20" s="121">
        <v>864953.49</v>
      </c>
      <c r="DG20" s="121">
        <v>1067104.1880000001</v>
      </c>
      <c r="DH20" s="121">
        <v>1236632.8459999999</v>
      </c>
      <c r="DI20" s="195">
        <v>2207149.5878120698</v>
      </c>
    </row>
    <row r="21" spans="1:117" ht="15" customHeight="1">
      <c r="A21" s="9" t="s">
        <v>10</v>
      </c>
      <c r="B21" s="7">
        <v>41283.284030000003</v>
      </c>
      <c r="C21" s="7">
        <v>62355.615220000007</v>
      </c>
      <c r="D21" s="7">
        <v>93226.39387</v>
      </c>
      <c r="E21" s="7">
        <v>150889.15484</v>
      </c>
      <c r="F21" s="7">
        <v>169080.78786000001</v>
      </c>
      <c r="G21" s="7">
        <v>182896.85486000002</v>
      </c>
      <c r="H21" s="7">
        <v>196491.54786000002</v>
      </c>
      <c r="I21" s="7">
        <v>202415.09116000001</v>
      </c>
      <c r="J21" s="7">
        <v>213162.78618</v>
      </c>
      <c r="K21" s="7">
        <v>240627.19910999999</v>
      </c>
      <c r="L21" s="7">
        <v>255863.02030999999</v>
      </c>
      <c r="M21" s="7">
        <v>275678.84600000002</v>
      </c>
      <c r="N21" s="53">
        <v>278000</v>
      </c>
      <c r="O21" s="21">
        <v>39671.228000000003</v>
      </c>
      <c r="P21" s="7">
        <v>72508.338000000003</v>
      </c>
      <c r="Q21" s="7">
        <v>79362.459000000003</v>
      </c>
      <c r="R21" s="57">
        <v>137165.66</v>
      </c>
      <c r="S21" s="57">
        <v>161075.84299999999</v>
      </c>
      <c r="T21" s="57">
        <v>175013</v>
      </c>
      <c r="U21" s="57">
        <v>188034.92800000001</v>
      </c>
      <c r="V21" s="57">
        <v>192558.133</v>
      </c>
      <c r="W21" s="57">
        <v>203589.18400000001</v>
      </c>
      <c r="X21" s="57">
        <v>227950.647</v>
      </c>
      <c r="Y21" s="57">
        <v>243253.18900000001</v>
      </c>
      <c r="Z21" s="57">
        <v>263118.20699999999</v>
      </c>
      <c r="AA21" s="53">
        <v>264800</v>
      </c>
      <c r="AB21" s="57">
        <v>44058.985999999997</v>
      </c>
      <c r="AC21" s="57">
        <v>92971.047000000006</v>
      </c>
      <c r="AD21" s="57">
        <v>102423.505</v>
      </c>
      <c r="AE21" s="57">
        <v>143918.16699999999</v>
      </c>
      <c r="AF21" s="57">
        <v>162072.98699999999</v>
      </c>
      <c r="AG21" s="57">
        <v>183265</v>
      </c>
      <c r="AH21" s="57">
        <v>188155.76699999999</v>
      </c>
      <c r="AI21" s="57">
        <v>191543.57199999999</v>
      </c>
      <c r="AJ21" s="57">
        <v>204034.959</v>
      </c>
      <c r="AK21" s="57">
        <v>229274.47200000001</v>
      </c>
      <c r="AL21" s="57">
        <v>242762.99</v>
      </c>
      <c r="AM21" s="57">
        <v>262888.41899999999</v>
      </c>
      <c r="AN21" s="53">
        <v>263226.95600000001</v>
      </c>
      <c r="AO21" s="57">
        <v>43448.696000000004</v>
      </c>
      <c r="AP21" s="57">
        <v>94498.672000000006</v>
      </c>
      <c r="AQ21" s="57">
        <v>100879.318</v>
      </c>
      <c r="AR21" s="57">
        <v>143111.49</v>
      </c>
      <c r="AS21" s="57">
        <v>165641.24299999999</v>
      </c>
      <c r="AT21" s="57">
        <v>184653.96599999999</v>
      </c>
      <c r="AU21" s="57">
        <v>188592.897</v>
      </c>
      <c r="AV21" s="57">
        <v>191836.05300000001</v>
      </c>
      <c r="AW21" s="57">
        <v>204288.285</v>
      </c>
      <c r="AX21" s="57">
        <v>230954.21100000001</v>
      </c>
      <c r="AY21" s="57">
        <v>248446.43</v>
      </c>
      <c r="AZ21" s="57">
        <v>256589.155</v>
      </c>
      <c r="BA21" s="53">
        <v>262208.91499999998</v>
      </c>
      <c r="BB21" s="57">
        <v>3863.1010000000001</v>
      </c>
      <c r="BC21" s="83">
        <v>49752.946000000004</v>
      </c>
      <c r="BD21" s="83">
        <v>57338.22</v>
      </c>
      <c r="BE21" s="83">
        <v>64558.317000000003</v>
      </c>
      <c r="BF21" s="83">
        <v>122496.177</v>
      </c>
      <c r="BG21" s="83">
        <v>126793.00199999999</v>
      </c>
      <c r="BH21" s="83">
        <v>130989.899</v>
      </c>
      <c r="BI21" s="83">
        <v>136280.20800000001</v>
      </c>
      <c r="BJ21" s="83">
        <v>154460.99</v>
      </c>
      <c r="BK21" s="83">
        <v>175867.356</v>
      </c>
      <c r="BL21" s="83">
        <v>189582.633</v>
      </c>
      <c r="BM21" s="83">
        <v>196531.848</v>
      </c>
      <c r="BN21" s="53">
        <v>200216.454</v>
      </c>
      <c r="BO21" s="86">
        <v>4676.8140000000003</v>
      </c>
      <c r="BP21" s="86">
        <v>52892.673999999999</v>
      </c>
      <c r="BQ21" s="86">
        <v>72628.83</v>
      </c>
      <c r="BR21" s="86">
        <v>84792.392000000007</v>
      </c>
      <c r="BS21" s="86">
        <v>153204.26999999999</v>
      </c>
      <c r="BT21" s="86">
        <v>156677.44699999999</v>
      </c>
      <c r="BU21" s="86">
        <v>159806.351</v>
      </c>
      <c r="BV21" s="86">
        <v>168082.951</v>
      </c>
      <c r="BW21" s="86">
        <v>186961.29500000001</v>
      </c>
      <c r="BX21" s="86">
        <v>203543.89300000001</v>
      </c>
      <c r="BY21" s="121">
        <v>225718.05</v>
      </c>
      <c r="BZ21" s="7">
        <v>228741.66099999999</v>
      </c>
      <c r="CA21" s="134">
        <v>230000.72599999997</v>
      </c>
      <c r="CB21" s="121">
        <v>43141.928</v>
      </c>
      <c r="CC21" s="121">
        <v>94496.096000000005</v>
      </c>
      <c r="CD21" s="121">
        <v>144039.117</v>
      </c>
      <c r="CE21" s="121">
        <v>193244.109</v>
      </c>
      <c r="CF21" s="121">
        <v>246137.89199999999</v>
      </c>
      <c r="CG21" s="121">
        <v>250811.41399999999</v>
      </c>
      <c r="CH21" s="121">
        <v>292618.815</v>
      </c>
      <c r="CI21" s="121">
        <v>302095.36200000002</v>
      </c>
      <c r="CJ21" s="121">
        <v>321869.73800000001</v>
      </c>
      <c r="CK21" s="121">
        <v>340078.75</v>
      </c>
      <c r="CL21" s="121">
        <v>360130.69</v>
      </c>
      <c r="CM21" s="121">
        <v>371952.397</v>
      </c>
      <c r="CN21" s="186">
        <v>381011.60099999997</v>
      </c>
      <c r="CO21" s="173">
        <v>98576.904999999999</v>
      </c>
      <c r="CP21" s="121">
        <v>147446</v>
      </c>
      <c r="CQ21" s="121">
        <v>199074.00599999999</v>
      </c>
      <c r="CR21" s="121">
        <v>203119.2</v>
      </c>
      <c r="CS21" s="121">
        <v>280894.24800000002</v>
      </c>
      <c r="CT21" s="121">
        <v>285306.28499999997</v>
      </c>
      <c r="CU21" s="121">
        <v>353514.19</v>
      </c>
      <c r="CV21" s="121">
        <v>361390.12699999998</v>
      </c>
      <c r="CW21" s="121">
        <v>384660.728</v>
      </c>
      <c r="CX21" s="121">
        <v>401395.17700000003</v>
      </c>
      <c r="CY21" s="121">
        <v>412604.29200000002</v>
      </c>
      <c r="CZ21" s="121">
        <v>423852.35700000002</v>
      </c>
      <c r="DA21" s="195">
        <v>458479.32900000003</v>
      </c>
      <c r="DB21" s="121">
        <v>107398.72500000001</v>
      </c>
      <c r="DC21" s="121">
        <v>154930.88399999999</v>
      </c>
      <c r="DD21" s="121">
        <v>202733.272</v>
      </c>
      <c r="DE21" s="121">
        <v>205670.02100000001</v>
      </c>
      <c r="DF21" s="121">
        <v>316704.83100000001</v>
      </c>
      <c r="DG21" s="121">
        <v>329396.81199999998</v>
      </c>
      <c r="DH21" s="121">
        <v>400779.94799999997</v>
      </c>
      <c r="DI21" s="195">
        <v>559053.12167999998</v>
      </c>
      <c r="DM21" s="45" t="s">
        <v>207</v>
      </c>
    </row>
    <row r="22" spans="1:117" ht="15" customHeight="1">
      <c r="A22" s="9" t="s">
        <v>11</v>
      </c>
      <c r="B22" s="7">
        <v>140233.22198</v>
      </c>
      <c r="C22" s="7">
        <v>290837.01381000003</v>
      </c>
      <c r="D22" s="7">
        <v>433619.66601000004</v>
      </c>
      <c r="E22" s="7">
        <v>645778.89422000002</v>
      </c>
      <c r="F22" s="7">
        <v>781909.20264999999</v>
      </c>
      <c r="G22" s="7">
        <v>938461.55165000004</v>
      </c>
      <c r="H22" s="7">
        <v>1096425.66979</v>
      </c>
      <c r="I22" s="7">
        <v>1270565.4846699999</v>
      </c>
      <c r="J22" s="7">
        <v>1407330.2215799999</v>
      </c>
      <c r="K22" s="7">
        <v>1697757.3707899998</v>
      </c>
      <c r="L22" s="7">
        <v>1894644.68083</v>
      </c>
      <c r="M22" s="7">
        <v>2276122.2760000001</v>
      </c>
      <c r="N22" s="53">
        <v>2253000</v>
      </c>
      <c r="O22" s="21">
        <v>149893.02499999999</v>
      </c>
      <c r="P22" s="7">
        <v>314356.68099999998</v>
      </c>
      <c r="Q22" s="7">
        <v>473440.11</v>
      </c>
      <c r="R22" s="57">
        <v>642411.076</v>
      </c>
      <c r="S22" s="57">
        <v>796989.97199999995</v>
      </c>
      <c r="T22" s="57">
        <v>945196</v>
      </c>
      <c r="U22" s="57">
        <v>1133661.254</v>
      </c>
      <c r="V22" s="57">
        <v>1291446.2879999999</v>
      </c>
      <c r="W22" s="57">
        <v>1439893.7150000001</v>
      </c>
      <c r="X22" s="57">
        <v>1709930.4650000001</v>
      </c>
      <c r="Y22" s="57">
        <v>1914656.7990000001</v>
      </c>
      <c r="Z22" s="57">
        <v>2329424.0950000002</v>
      </c>
      <c r="AA22" s="53">
        <v>2154700</v>
      </c>
      <c r="AB22" s="57">
        <v>165668.06</v>
      </c>
      <c r="AC22" s="57">
        <v>351944.43800000002</v>
      </c>
      <c r="AD22" s="57">
        <v>559674.25100000005</v>
      </c>
      <c r="AE22" s="57">
        <v>861300.40300000005</v>
      </c>
      <c r="AF22" s="57">
        <v>993191.75399999996</v>
      </c>
      <c r="AG22" s="57">
        <v>1154405</v>
      </c>
      <c r="AH22" s="57">
        <v>1337568.69</v>
      </c>
      <c r="AI22" s="57">
        <v>1610526.1340000001</v>
      </c>
      <c r="AJ22" s="57">
        <v>1803061.4339999999</v>
      </c>
      <c r="AK22" s="57">
        <v>2111183.9300000002</v>
      </c>
      <c r="AL22" s="57">
        <v>2293568.8810000001</v>
      </c>
      <c r="AM22" s="57">
        <v>2773756.432</v>
      </c>
      <c r="AN22" s="53">
        <v>2483432.41500074</v>
      </c>
      <c r="AO22" s="57">
        <v>151037.611</v>
      </c>
      <c r="AP22" s="57">
        <v>400199.48100000003</v>
      </c>
      <c r="AQ22" s="57">
        <v>629707.62100000004</v>
      </c>
      <c r="AR22" s="57">
        <v>867020.73699999996</v>
      </c>
      <c r="AS22" s="57">
        <v>1081271.548</v>
      </c>
      <c r="AT22" s="57">
        <v>1306587.834</v>
      </c>
      <c r="AU22" s="57">
        <v>1528432.9</v>
      </c>
      <c r="AV22" s="57">
        <v>1745100.1680000001</v>
      </c>
      <c r="AW22" s="57">
        <v>1988753.879</v>
      </c>
      <c r="AX22" s="57">
        <v>2328730.577</v>
      </c>
      <c r="AY22" s="57">
        <v>2559771.9580000001</v>
      </c>
      <c r="AZ22" s="57">
        <v>3114682.0440000002</v>
      </c>
      <c r="BA22" s="53">
        <v>2913830.5787868099</v>
      </c>
      <c r="BB22" s="57">
        <v>257874.568</v>
      </c>
      <c r="BC22" s="83">
        <v>534123.64300000004</v>
      </c>
      <c r="BD22" s="83">
        <v>869466.83299999998</v>
      </c>
      <c r="BE22" s="83">
        <v>1174162.4650000001</v>
      </c>
      <c r="BF22" s="83">
        <v>1483899.1810000001</v>
      </c>
      <c r="BG22" s="83">
        <v>1765526.2109999999</v>
      </c>
      <c r="BH22" s="83">
        <v>1995091.058</v>
      </c>
      <c r="BI22" s="83">
        <v>2225986.64</v>
      </c>
      <c r="BJ22" s="83">
        <v>2465125.585</v>
      </c>
      <c r="BK22" s="83">
        <v>2825164.7659999998</v>
      </c>
      <c r="BL22" s="83">
        <v>3098770.2110000001</v>
      </c>
      <c r="BM22" s="83">
        <v>3840859.139</v>
      </c>
      <c r="BN22" s="53">
        <v>3731367.3878421201</v>
      </c>
      <c r="BO22" s="86">
        <v>220148</v>
      </c>
      <c r="BP22" s="86">
        <v>662046.65</v>
      </c>
      <c r="BQ22" s="86">
        <v>1028302.184</v>
      </c>
      <c r="BR22" s="86">
        <v>1346235.7509999999</v>
      </c>
      <c r="BS22" s="86">
        <v>1635172.736</v>
      </c>
      <c r="BT22" s="86">
        <v>1909634.561</v>
      </c>
      <c r="BU22" s="86">
        <v>2187696.2609999999</v>
      </c>
      <c r="BV22" s="86">
        <v>2453838.6740000001</v>
      </c>
      <c r="BW22" s="86">
        <v>2715402.7910000002</v>
      </c>
      <c r="BX22" s="86">
        <v>3023809.912</v>
      </c>
      <c r="BY22" s="121">
        <v>3384080.2540000002</v>
      </c>
      <c r="BZ22" s="7">
        <v>4036114.6869999999</v>
      </c>
      <c r="CA22" s="134">
        <v>4645175.4469999997</v>
      </c>
      <c r="CB22" s="121">
        <v>321531.875</v>
      </c>
      <c r="CC22" s="121">
        <v>565172.92700000003</v>
      </c>
      <c r="CD22" s="121">
        <v>876790.05700000003</v>
      </c>
      <c r="CE22" s="121">
        <v>1324837.4620000001</v>
      </c>
      <c r="CF22" s="121">
        <v>1600990.449</v>
      </c>
      <c r="CG22" s="121">
        <v>1898696.7749999999</v>
      </c>
      <c r="CH22" s="121">
        <v>2226500.344</v>
      </c>
      <c r="CI22" s="121">
        <v>2522424.611</v>
      </c>
      <c r="CJ22" s="121">
        <v>2773210.6850000001</v>
      </c>
      <c r="CK22" s="121">
        <v>3141452.3309999998</v>
      </c>
      <c r="CL22" s="121">
        <v>3435790.9109999998</v>
      </c>
      <c r="CM22" s="121">
        <v>4050225.3289999999</v>
      </c>
      <c r="CN22" s="186">
        <v>5407583.1445978032</v>
      </c>
      <c r="CO22" s="173">
        <v>331213.35399999999</v>
      </c>
      <c r="CP22" s="121">
        <v>642965.52899999998</v>
      </c>
      <c r="CQ22" s="121">
        <v>1037713.498</v>
      </c>
      <c r="CR22" s="121">
        <v>1457215.54</v>
      </c>
      <c r="CS22" s="121">
        <v>1748734.4620000001</v>
      </c>
      <c r="CT22" s="121">
        <v>2008270.2339999999</v>
      </c>
      <c r="CU22" s="121">
        <v>2330784.5</v>
      </c>
      <c r="CV22" s="121">
        <v>2669218.3939999999</v>
      </c>
      <c r="CW22" s="121">
        <v>2994756.0729999999</v>
      </c>
      <c r="CX22" s="121">
        <v>3396293.469</v>
      </c>
      <c r="CY22" s="121">
        <v>3717150.7250000001</v>
      </c>
      <c r="CZ22" s="121">
        <v>4353920.2470000004</v>
      </c>
      <c r="DA22" s="195">
        <v>5211521.6454519993</v>
      </c>
      <c r="DB22" s="121">
        <v>367823.44400000002</v>
      </c>
      <c r="DC22" s="121">
        <v>690123.91299999994</v>
      </c>
      <c r="DD22" s="121">
        <v>1023324.866</v>
      </c>
      <c r="DE22" s="121">
        <v>1383010.96</v>
      </c>
      <c r="DF22" s="121">
        <v>1679371.6540000001</v>
      </c>
      <c r="DG22" s="121">
        <v>1986721.325</v>
      </c>
      <c r="DH22" s="121">
        <v>2382008.4709999999</v>
      </c>
      <c r="DI22" s="195">
        <v>5359070.1359999999</v>
      </c>
    </row>
    <row r="23" spans="1:117" ht="15" customHeight="1">
      <c r="A23" s="9" t="s">
        <v>12</v>
      </c>
      <c r="B23" s="7">
        <v>255779.96230000001</v>
      </c>
      <c r="C23" s="7">
        <v>500945.88568000001</v>
      </c>
      <c r="D23" s="7">
        <v>754227.05352000007</v>
      </c>
      <c r="E23" s="7">
        <v>1023318.8162200002</v>
      </c>
      <c r="F23" s="7">
        <v>1257818.2293400001</v>
      </c>
      <c r="G23" s="7">
        <v>1495047.05434</v>
      </c>
      <c r="H23" s="7">
        <v>1754387.6869000001</v>
      </c>
      <c r="I23" s="7">
        <v>2003260.3735100001</v>
      </c>
      <c r="J23" s="7">
        <v>2236475.7730999999</v>
      </c>
      <c r="K23" s="7">
        <v>2516110.1546299998</v>
      </c>
      <c r="L23" s="7">
        <v>2780335.4611799996</v>
      </c>
      <c r="M23" s="7">
        <v>3065776.733</v>
      </c>
      <c r="N23" s="53">
        <v>3137900</v>
      </c>
      <c r="O23" s="21">
        <v>247918.82699999999</v>
      </c>
      <c r="P23" s="7">
        <v>515343.62800000003</v>
      </c>
      <c r="Q23" s="7">
        <v>769807.19299999997</v>
      </c>
      <c r="R23" s="57">
        <v>1071458.861</v>
      </c>
      <c r="S23" s="57">
        <v>1320698.9890000001</v>
      </c>
      <c r="T23" s="57">
        <v>1569163</v>
      </c>
      <c r="U23" s="57">
        <v>1850408.3629999999</v>
      </c>
      <c r="V23" s="57">
        <v>2095972.94</v>
      </c>
      <c r="W23" s="57">
        <v>2367340.4410000001</v>
      </c>
      <c r="X23" s="57">
        <v>2668196.5819999999</v>
      </c>
      <c r="Y23" s="57">
        <v>2935448.9840000002</v>
      </c>
      <c r="Z23" s="57">
        <v>3259915.625</v>
      </c>
      <c r="AA23" s="53">
        <v>3289500</v>
      </c>
      <c r="AB23" s="57">
        <v>278787.94300000003</v>
      </c>
      <c r="AC23" s="57">
        <v>550757.73199999996</v>
      </c>
      <c r="AD23" s="57">
        <v>865255.30099999998</v>
      </c>
      <c r="AE23" s="57">
        <v>1186292.2579999999</v>
      </c>
      <c r="AF23" s="57">
        <v>1470633.3729999999</v>
      </c>
      <c r="AG23" s="57">
        <v>1806864</v>
      </c>
      <c r="AH23" s="57">
        <v>2108319.8220000002</v>
      </c>
      <c r="AI23" s="57">
        <v>2381110.577</v>
      </c>
      <c r="AJ23" s="57">
        <v>2694495.4730000002</v>
      </c>
      <c r="AK23" s="57">
        <v>2977281.7779999999</v>
      </c>
      <c r="AL23" s="57">
        <v>3281249.5430000001</v>
      </c>
      <c r="AM23" s="57">
        <v>3621917.5759999999</v>
      </c>
      <c r="AN23" s="53">
        <v>3514400.3829999999</v>
      </c>
      <c r="AO23" s="57">
        <v>325766.77799999999</v>
      </c>
      <c r="AP23" s="57">
        <v>698832.78599999996</v>
      </c>
      <c r="AQ23" s="57">
        <v>1389859.909</v>
      </c>
      <c r="AR23" s="57">
        <v>1933115.4339999999</v>
      </c>
      <c r="AS23" s="57">
        <v>2313179.7930000001</v>
      </c>
      <c r="AT23" s="57">
        <v>2773515.0529999998</v>
      </c>
      <c r="AU23" s="57">
        <v>3135139.2940000002</v>
      </c>
      <c r="AV23" s="57">
        <v>3471881.9270000001</v>
      </c>
      <c r="AW23" s="57">
        <v>3782534.4550000001</v>
      </c>
      <c r="AX23" s="57">
        <v>4081542.9470000002</v>
      </c>
      <c r="AY23" s="57">
        <v>4423470.29</v>
      </c>
      <c r="AZ23" s="57">
        <v>4806432.4749999996</v>
      </c>
      <c r="BA23" s="53">
        <v>3764403.1548586702</v>
      </c>
      <c r="BB23" s="57">
        <v>383509.62199999997</v>
      </c>
      <c r="BC23" s="83">
        <v>792598.74100000004</v>
      </c>
      <c r="BD23" s="83">
        <v>1217993.2649999999</v>
      </c>
      <c r="BE23" s="83">
        <v>1610274.871</v>
      </c>
      <c r="BF23" s="83">
        <v>1960589.3289999999</v>
      </c>
      <c r="BG23" s="83">
        <v>2243397.1269999999</v>
      </c>
      <c r="BH23" s="83">
        <v>2550607.3050000002</v>
      </c>
      <c r="BI23" s="83">
        <v>2910860.1779999998</v>
      </c>
      <c r="BJ23" s="83">
        <v>3341688.6719999998</v>
      </c>
      <c r="BK23" s="83">
        <v>3708071.1749999998</v>
      </c>
      <c r="BL23" s="83">
        <v>4140217.0690000001</v>
      </c>
      <c r="BM23" s="83">
        <v>4523626.2649999997</v>
      </c>
      <c r="BN23" s="53">
        <v>4087028.1518022302</v>
      </c>
      <c r="BO23" s="86">
        <v>432302.489</v>
      </c>
      <c r="BP23" s="86">
        <v>839506.85699999996</v>
      </c>
      <c r="BQ23" s="86">
        <v>1257376.956</v>
      </c>
      <c r="BR23" s="86">
        <v>1676156.8589999999</v>
      </c>
      <c r="BS23" s="86">
        <v>2053548.7749999999</v>
      </c>
      <c r="BT23" s="86">
        <v>2447968.5720000002</v>
      </c>
      <c r="BU23" s="86">
        <v>2801230.0619999999</v>
      </c>
      <c r="BV23" s="86">
        <v>3221814.6940000001</v>
      </c>
      <c r="BW23" s="86">
        <v>3583079.4279999998</v>
      </c>
      <c r="BX23" s="86">
        <v>4030494.9190000002</v>
      </c>
      <c r="BY23" s="121">
        <v>4447029.4400000004</v>
      </c>
      <c r="BZ23" s="7">
        <v>4832584.1940000001</v>
      </c>
      <c r="CA23" s="134">
        <v>4856564.7239999995</v>
      </c>
      <c r="CB23" s="121">
        <v>456505.84</v>
      </c>
      <c r="CC23" s="121">
        <v>881506.27099999995</v>
      </c>
      <c r="CD23" s="121">
        <v>1279246.76</v>
      </c>
      <c r="CE23" s="121">
        <v>1734144.878</v>
      </c>
      <c r="CF23" s="121">
        <v>2153088.676</v>
      </c>
      <c r="CG23" s="121">
        <v>2568386.7549999999</v>
      </c>
      <c r="CH23" s="121">
        <v>3007890.665</v>
      </c>
      <c r="CI23" s="121">
        <v>3422424.2349999999</v>
      </c>
      <c r="CJ23" s="121">
        <v>3844912.1469999999</v>
      </c>
      <c r="CK23" s="121">
        <v>4312886.2149999999</v>
      </c>
      <c r="CL23" s="121">
        <v>4756879.8660000004</v>
      </c>
      <c r="CM23" s="121">
        <v>5207340.66</v>
      </c>
      <c r="CN23" s="186">
        <v>5174055.3789999997</v>
      </c>
      <c r="CO23" s="173">
        <v>474908.63199999998</v>
      </c>
      <c r="CP23" s="121">
        <v>933456.69400000002</v>
      </c>
      <c r="CQ23" s="121">
        <v>1394050.2790000001</v>
      </c>
      <c r="CR23" s="121">
        <v>1920596.7</v>
      </c>
      <c r="CS23" s="121">
        <v>2309269.0499999998</v>
      </c>
      <c r="CT23" s="121">
        <v>2757235.8489999999</v>
      </c>
      <c r="CU23" s="121">
        <v>3211882.0690000001</v>
      </c>
      <c r="CV23" s="121">
        <v>3657523.0389999999</v>
      </c>
      <c r="CW23" s="121">
        <v>4130072.3029999998</v>
      </c>
      <c r="CX23" s="121">
        <v>4611645.0480000004</v>
      </c>
      <c r="CY23" s="121">
        <v>5089666.6370000001</v>
      </c>
      <c r="CZ23" s="121">
        <v>5631564.0810000002</v>
      </c>
      <c r="DA23" s="195">
        <v>5633216.9600494495</v>
      </c>
      <c r="DB23" s="121">
        <v>436119.28700000001</v>
      </c>
      <c r="DC23" s="121">
        <v>934179.12</v>
      </c>
      <c r="DD23" s="121">
        <v>1451447.4029999999</v>
      </c>
      <c r="DE23" s="121">
        <v>2017677.9350000001</v>
      </c>
      <c r="DF23" s="121">
        <v>2456464.7390000001</v>
      </c>
      <c r="DG23" s="121">
        <v>2961104.1570000001</v>
      </c>
      <c r="DH23" s="121">
        <v>3459186.8229999999</v>
      </c>
      <c r="DI23" s="195">
        <v>6042044.25221177</v>
      </c>
    </row>
    <row r="24" spans="1:117" ht="15" customHeight="1">
      <c r="A24" s="9" t="s">
        <v>13</v>
      </c>
      <c r="B24" s="7">
        <v>40550.5265</v>
      </c>
      <c r="C24" s="7">
        <v>82078.691259999992</v>
      </c>
      <c r="D24" s="7">
        <v>129606.54986</v>
      </c>
      <c r="E24" s="7">
        <v>175460.04090999998</v>
      </c>
      <c r="F24" s="7">
        <v>235553.29938999997</v>
      </c>
      <c r="G24" s="7">
        <v>333241.99838999996</v>
      </c>
      <c r="H24" s="7">
        <v>437895.32595999993</v>
      </c>
      <c r="I24" s="7">
        <v>561288.17868999997</v>
      </c>
      <c r="J24" s="7">
        <v>687968.34282000002</v>
      </c>
      <c r="K24" s="7">
        <v>806004.01029000001</v>
      </c>
      <c r="L24" s="7">
        <v>951655.60557000001</v>
      </c>
      <c r="M24" s="7">
        <v>1188089.9739999999</v>
      </c>
      <c r="N24" s="53">
        <v>875400</v>
      </c>
      <c r="O24" s="21">
        <v>75218.922999999995</v>
      </c>
      <c r="P24" s="7">
        <v>121669.09299999999</v>
      </c>
      <c r="Q24" s="7">
        <v>174210.549</v>
      </c>
      <c r="R24" s="57">
        <v>230940.21</v>
      </c>
      <c r="S24" s="57">
        <v>314146.902</v>
      </c>
      <c r="T24" s="57">
        <v>406521</v>
      </c>
      <c r="U24" s="57">
        <v>524236.21</v>
      </c>
      <c r="V24" s="57">
        <v>651499.12600000005</v>
      </c>
      <c r="W24" s="57">
        <v>770629.174</v>
      </c>
      <c r="X24" s="57">
        <v>877839.88399999996</v>
      </c>
      <c r="Y24" s="57">
        <v>990284.64399999997</v>
      </c>
      <c r="Z24" s="57">
        <v>1209377.8589999999</v>
      </c>
      <c r="AA24" s="53">
        <v>1249400</v>
      </c>
      <c r="AB24" s="57">
        <v>86589.232999999993</v>
      </c>
      <c r="AC24" s="57">
        <v>131141.201</v>
      </c>
      <c r="AD24" s="57">
        <v>183003.84700000001</v>
      </c>
      <c r="AE24" s="57">
        <v>245858.20499999999</v>
      </c>
      <c r="AF24" s="57">
        <v>309148.68699999998</v>
      </c>
      <c r="AG24" s="57">
        <v>386422</v>
      </c>
      <c r="AH24" s="57">
        <v>497082.984</v>
      </c>
      <c r="AI24" s="57">
        <v>593486.24300000002</v>
      </c>
      <c r="AJ24" s="57">
        <v>717821.40500000003</v>
      </c>
      <c r="AK24" s="57">
        <v>863914.38600000006</v>
      </c>
      <c r="AL24" s="57">
        <v>983263.94400000002</v>
      </c>
      <c r="AM24" s="57">
        <v>1251904.8049999999</v>
      </c>
      <c r="AN24" s="53">
        <v>1163355.0460000001</v>
      </c>
      <c r="AO24" s="57">
        <v>54096.24</v>
      </c>
      <c r="AP24" s="57">
        <v>110599.53</v>
      </c>
      <c r="AQ24" s="57">
        <v>159865.283</v>
      </c>
      <c r="AR24" s="57">
        <v>216890.391</v>
      </c>
      <c r="AS24" s="57">
        <v>282917.717</v>
      </c>
      <c r="AT24" s="57">
        <v>370902.93900000001</v>
      </c>
      <c r="AU24" s="57">
        <v>494111.22600000002</v>
      </c>
      <c r="AV24" s="57">
        <v>611537.61199999996</v>
      </c>
      <c r="AW24" s="57">
        <v>733461.34400000004</v>
      </c>
      <c r="AX24" s="57">
        <v>846775.49899999995</v>
      </c>
      <c r="AY24" s="57">
        <v>986827.48400000005</v>
      </c>
      <c r="AZ24" s="57">
        <v>1267580.253</v>
      </c>
      <c r="BA24" s="53">
        <v>1019830.345</v>
      </c>
      <c r="BB24" s="57">
        <v>43658.836000000003</v>
      </c>
      <c r="BC24" s="83">
        <v>85724.835000000006</v>
      </c>
      <c r="BD24" s="83">
        <v>148414.875</v>
      </c>
      <c r="BE24" s="83">
        <v>206868.83</v>
      </c>
      <c r="BF24" s="83">
        <v>266339.73100000003</v>
      </c>
      <c r="BG24" s="83">
        <v>359246.81</v>
      </c>
      <c r="BH24" s="83">
        <v>457550.78399999999</v>
      </c>
      <c r="BI24" s="83">
        <v>578399.37300000002</v>
      </c>
      <c r="BJ24" s="83">
        <v>699481.19400000002</v>
      </c>
      <c r="BK24" s="83">
        <v>829099.21499999997</v>
      </c>
      <c r="BL24" s="83">
        <v>963825.90800000005</v>
      </c>
      <c r="BM24" s="83">
        <v>1280379.9569999999</v>
      </c>
      <c r="BN24" s="53">
        <v>1572616.1810000001</v>
      </c>
      <c r="BO24" s="86">
        <v>80587.486999999994</v>
      </c>
      <c r="BP24" s="86">
        <v>130176.601</v>
      </c>
      <c r="BQ24" s="86">
        <v>192632.68900000001</v>
      </c>
      <c r="BR24" s="86">
        <v>278088.58199999999</v>
      </c>
      <c r="BS24" s="86">
        <v>359800.49300000002</v>
      </c>
      <c r="BT24" s="86">
        <v>484520.11599999998</v>
      </c>
      <c r="BU24" s="86">
        <v>591376.48199999996</v>
      </c>
      <c r="BV24" s="86">
        <v>725840.14800000004</v>
      </c>
      <c r="BW24" s="86">
        <v>841884.27899999998</v>
      </c>
      <c r="BX24" s="86">
        <v>971973.17</v>
      </c>
      <c r="BY24" s="121">
        <v>1088102.2479999999</v>
      </c>
      <c r="BZ24" s="7">
        <v>1456269.6240000001</v>
      </c>
      <c r="CA24" s="134">
        <v>1413818.2709056607</v>
      </c>
      <c r="CB24" s="121">
        <v>65372.525999999998</v>
      </c>
      <c r="CC24" s="121">
        <v>252488.356</v>
      </c>
      <c r="CD24" s="121">
        <v>298484.88699999999</v>
      </c>
      <c r="CE24" s="121">
        <v>387668.95899999997</v>
      </c>
      <c r="CF24" s="121">
        <v>469495.23700000002</v>
      </c>
      <c r="CG24" s="121">
        <v>559934.58900000004</v>
      </c>
      <c r="CH24" s="121">
        <v>684551.40700000001</v>
      </c>
      <c r="CI24" s="121">
        <v>809994.402</v>
      </c>
      <c r="CJ24" s="121">
        <v>941040.25600000005</v>
      </c>
      <c r="CK24" s="121">
        <v>1107432.0730000001</v>
      </c>
      <c r="CL24" s="121">
        <v>1252803.767</v>
      </c>
      <c r="CM24" s="121">
        <v>1549939.666</v>
      </c>
      <c r="CN24" s="186">
        <v>1581066.0410000002</v>
      </c>
      <c r="CO24" s="173">
        <v>95708.82</v>
      </c>
      <c r="CP24" s="121">
        <v>177266.745</v>
      </c>
      <c r="CQ24" s="121">
        <v>330142.24900000001</v>
      </c>
      <c r="CR24" s="121">
        <v>455606.33199999999</v>
      </c>
      <c r="CS24" s="121">
        <v>568761.15500000003</v>
      </c>
      <c r="CT24" s="121">
        <v>736067.19700000004</v>
      </c>
      <c r="CU24" s="121">
        <v>887226.527</v>
      </c>
      <c r="CV24" s="121">
        <v>1031497.951</v>
      </c>
      <c r="CW24" s="121">
        <v>1207895.753</v>
      </c>
      <c r="CX24" s="121">
        <v>1380087.23</v>
      </c>
      <c r="CY24" s="121">
        <v>1536002.594</v>
      </c>
      <c r="CZ24" s="121">
        <v>1897609.882</v>
      </c>
      <c r="DA24" s="195">
        <v>1569750.3613716431</v>
      </c>
      <c r="DB24" s="121">
        <v>178541.56700000001</v>
      </c>
      <c r="DC24" s="121">
        <v>339002.12599999999</v>
      </c>
      <c r="DD24" s="121">
        <v>526276.82400000002</v>
      </c>
      <c r="DE24" s="121">
        <v>605453.31799999997</v>
      </c>
      <c r="DF24" s="121">
        <v>752696.84600000002</v>
      </c>
      <c r="DG24" s="121">
        <v>917909.8</v>
      </c>
      <c r="DH24" s="121">
        <v>1100426.47</v>
      </c>
      <c r="DI24" s="195">
        <v>1739124.4258087701</v>
      </c>
    </row>
    <row r="25" spans="1:117" ht="15" customHeight="1">
      <c r="A25" s="9" t="s">
        <v>198</v>
      </c>
      <c r="B25" s="7">
        <v>9985.31646</v>
      </c>
      <c r="C25" s="7">
        <v>50011.268130000004</v>
      </c>
      <c r="D25" s="7">
        <v>77927.432970000009</v>
      </c>
      <c r="E25" s="7">
        <v>101415.78057</v>
      </c>
      <c r="F25" s="7">
        <v>120131.31827</v>
      </c>
      <c r="G25" s="7">
        <v>134793.62327000001</v>
      </c>
      <c r="H25" s="7">
        <v>161268.05670000002</v>
      </c>
      <c r="I25" s="7">
        <v>186121.06618000002</v>
      </c>
      <c r="J25" s="7">
        <v>210592.35447000002</v>
      </c>
      <c r="K25" s="7">
        <v>236620.91443</v>
      </c>
      <c r="L25" s="7">
        <v>263950.97029000003</v>
      </c>
      <c r="M25" s="7">
        <v>307116.47399999999</v>
      </c>
      <c r="N25" s="53">
        <v>322200</v>
      </c>
      <c r="O25" s="21">
        <v>35699.135000000002</v>
      </c>
      <c r="P25" s="7">
        <v>99695.153000000006</v>
      </c>
      <c r="Q25" s="7">
        <v>126903.389</v>
      </c>
      <c r="R25" s="57">
        <v>147242.894</v>
      </c>
      <c r="S25" s="57">
        <v>165383.092</v>
      </c>
      <c r="T25" s="57">
        <v>187806</v>
      </c>
      <c r="U25" s="57">
        <v>219815.10800000001</v>
      </c>
      <c r="V25" s="57">
        <v>247905.424</v>
      </c>
      <c r="W25" s="57">
        <v>274058.84999999998</v>
      </c>
      <c r="X25" s="57">
        <v>302475.08500000002</v>
      </c>
      <c r="Y25" s="57">
        <v>320934.538</v>
      </c>
      <c r="Z25" s="57">
        <v>348572.07500000001</v>
      </c>
      <c r="AA25" s="53">
        <v>325400</v>
      </c>
      <c r="AB25" s="57">
        <v>56210.752</v>
      </c>
      <c r="AC25" s="57">
        <v>88102.472999999998</v>
      </c>
      <c r="AD25" s="57">
        <v>107848.46400000001</v>
      </c>
      <c r="AE25" s="57">
        <v>135683.02499999999</v>
      </c>
      <c r="AF25" s="57">
        <v>175806.92800000001</v>
      </c>
      <c r="AG25" s="57">
        <v>197473</v>
      </c>
      <c r="AH25" s="57">
        <v>221645.72200000001</v>
      </c>
      <c r="AI25" s="57">
        <v>236927.495</v>
      </c>
      <c r="AJ25" s="57">
        <v>260276.94699999999</v>
      </c>
      <c r="AK25" s="57">
        <v>293902.48599999998</v>
      </c>
      <c r="AL25" s="57">
        <v>335682.55599999998</v>
      </c>
      <c r="AM25" s="57">
        <v>370645.84700000001</v>
      </c>
      <c r="AN25" s="53">
        <v>363837.02100000001</v>
      </c>
      <c r="AO25" s="57">
        <v>54146.822999999997</v>
      </c>
      <c r="AP25" s="57">
        <v>110120.283</v>
      </c>
      <c r="AQ25" s="57">
        <v>133863.50099999999</v>
      </c>
      <c r="AR25" s="57">
        <v>163439.65</v>
      </c>
      <c r="AS25" s="57">
        <v>191982.52900000001</v>
      </c>
      <c r="AT25" s="57">
        <v>225734.486</v>
      </c>
      <c r="AU25" s="57">
        <v>246695</v>
      </c>
      <c r="AV25" s="57">
        <v>277476.717</v>
      </c>
      <c r="AW25" s="57">
        <v>313278.34299999999</v>
      </c>
      <c r="AX25" s="57">
        <v>349429.67800000001</v>
      </c>
      <c r="AY25" s="57">
        <v>396332.96899999998</v>
      </c>
      <c r="AZ25" s="57">
        <v>456192.99699999997</v>
      </c>
      <c r="BA25" s="53">
        <f>44191.7079999995 + 356279.4</f>
        <v>400471.10799999954</v>
      </c>
      <c r="BB25" s="57">
        <v>42271.527000000002</v>
      </c>
      <c r="BC25" s="83">
        <v>87693.422999999995</v>
      </c>
      <c r="BD25" s="83">
        <v>123070.791</v>
      </c>
      <c r="BE25" s="83">
        <v>160063.78200000001</v>
      </c>
      <c r="BF25" s="83">
        <v>195221</v>
      </c>
      <c r="BG25" s="83">
        <v>232074.24900000001</v>
      </c>
      <c r="BH25" s="83">
        <v>270562.04700000002</v>
      </c>
      <c r="BI25" s="83">
        <v>310485.81</v>
      </c>
      <c r="BJ25" s="83">
        <v>343672.37799999997</v>
      </c>
      <c r="BK25" s="83">
        <v>373125.72700000001</v>
      </c>
      <c r="BL25" s="83">
        <v>408844.33</v>
      </c>
      <c r="BM25" s="83">
        <v>449731.01899999997</v>
      </c>
      <c r="BN25" s="53">
        <f>46019.5980000047 + 372094.692</f>
        <v>418114.29000000469</v>
      </c>
      <c r="BO25" s="86">
        <v>31501.550999999999</v>
      </c>
      <c r="BP25" s="86">
        <v>73798.8</v>
      </c>
      <c r="BQ25" s="86">
        <v>106253.304</v>
      </c>
      <c r="BR25" s="86">
        <v>140085.728</v>
      </c>
      <c r="BS25" s="86">
        <v>170489.5</v>
      </c>
      <c r="BT25" s="86">
        <v>213475.894</v>
      </c>
      <c r="BU25" s="86">
        <v>252245.266</v>
      </c>
      <c r="BV25" s="86">
        <v>283897.511</v>
      </c>
      <c r="BW25" s="86">
        <v>318371.25599999999</v>
      </c>
      <c r="BX25" s="86">
        <v>354934.70299999998</v>
      </c>
      <c r="BY25" s="121">
        <v>406706.391</v>
      </c>
      <c r="BZ25" s="7">
        <v>491571.01899999997</v>
      </c>
      <c r="CA25" s="134">
        <v>447595.1349999989</v>
      </c>
      <c r="CB25" s="121">
        <v>33436.46</v>
      </c>
      <c r="CC25" s="121">
        <v>69933.216</v>
      </c>
      <c r="CD25" s="121">
        <v>123303.788</v>
      </c>
      <c r="CE25" s="121">
        <v>155227.10699999999</v>
      </c>
      <c r="CF25" s="121">
        <v>187114.08799999999</v>
      </c>
      <c r="CG25" s="121">
        <v>229993.671</v>
      </c>
      <c r="CH25" s="121">
        <v>281519.32400000002</v>
      </c>
      <c r="CI25" s="121">
        <v>315160.83500000002</v>
      </c>
      <c r="CJ25" s="121">
        <v>348703.092</v>
      </c>
      <c r="CK25" s="121">
        <v>392269.33500000002</v>
      </c>
      <c r="CL25" s="121">
        <v>434564.783</v>
      </c>
      <c r="CM25" s="121">
        <v>479618.05900000001</v>
      </c>
      <c r="CN25" s="186">
        <v>475278.04800000443</v>
      </c>
      <c r="CO25" s="173">
        <v>42282.567000000003</v>
      </c>
      <c r="CP25" s="121">
        <v>77573.691999999995</v>
      </c>
      <c r="CQ25" s="121">
        <v>125347.48699999999</v>
      </c>
      <c r="CR25" s="121">
        <v>162327.905</v>
      </c>
      <c r="CS25" s="121">
        <v>203450.82800000001</v>
      </c>
      <c r="CT25" s="121">
        <v>237078.49100000001</v>
      </c>
      <c r="CU25" s="121">
        <v>273521.66600000003</v>
      </c>
      <c r="CV25" s="121">
        <v>315589.179</v>
      </c>
      <c r="CW25" s="121">
        <v>360591.14899999998</v>
      </c>
      <c r="CX25" s="121">
        <v>407426.53200000001</v>
      </c>
      <c r="CY25" s="121">
        <v>437566.484</v>
      </c>
      <c r="CZ25" s="121">
        <v>529896.924</v>
      </c>
      <c r="DA25" s="195">
        <v>433011.88900000078</v>
      </c>
      <c r="DB25" s="121">
        <v>56565.837</v>
      </c>
      <c r="DC25" s="121">
        <v>105701.576</v>
      </c>
      <c r="DD25" s="121">
        <v>131802.69500000001</v>
      </c>
      <c r="DE25" s="121">
        <v>143370.44899999999</v>
      </c>
      <c r="DF25" s="121">
        <v>155423.71900000001</v>
      </c>
      <c r="DG25" s="121">
        <v>192605.33499999999</v>
      </c>
      <c r="DH25" s="121">
        <v>248184.58499999999</v>
      </c>
      <c r="DI25" s="195">
        <f>365326+77074.2129999976</f>
        <v>442400.2129999976</v>
      </c>
      <c r="DJ25" s="285"/>
    </row>
    <row r="26" spans="1:117" ht="15" customHeight="1">
      <c r="A26" s="3" t="s">
        <v>76</v>
      </c>
      <c r="B26" s="4">
        <v>124577.75049999999</v>
      </c>
      <c r="C26" s="4">
        <v>231594.78426000001</v>
      </c>
      <c r="D26" s="4">
        <v>153442.59286999996</v>
      </c>
      <c r="E26" s="4">
        <v>160081.70103999999</v>
      </c>
      <c r="F26" s="4">
        <v>423896.15854999993</v>
      </c>
      <c r="G26" s="4">
        <v>419923.28605999995</v>
      </c>
      <c r="H26" s="4">
        <v>634865.21600000001</v>
      </c>
      <c r="I26" s="4">
        <v>684385.89509999705</v>
      </c>
      <c r="J26" s="4">
        <v>672041.87238999608</v>
      </c>
      <c r="K26" s="4">
        <v>502371.9474999971</v>
      </c>
      <c r="L26" s="4">
        <v>372807.65760999813</v>
      </c>
      <c r="M26" s="4">
        <f>M27-M28</f>
        <v>-64578.206000000238</v>
      </c>
      <c r="N26" s="55">
        <v>-195200</v>
      </c>
      <c r="O26" s="15">
        <f t="shared" ref="O26:AH26" si="34">O27-O28</f>
        <v>-728690.54</v>
      </c>
      <c r="P26" s="4">
        <f t="shared" si="34"/>
        <v>162814.08700000006</v>
      </c>
      <c r="Q26" s="4">
        <f t="shared" si="34"/>
        <v>58503.325000000186</v>
      </c>
      <c r="R26" s="4">
        <f t="shared" si="34"/>
        <v>130809.68699999992</v>
      </c>
      <c r="S26" s="4">
        <f t="shared" si="34"/>
        <v>370300</v>
      </c>
      <c r="T26" s="4">
        <f t="shared" si="34"/>
        <v>563038</v>
      </c>
      <c r="U26" s="4">
        <f t="shared" si="34"/>
        <v>501081</v>
      </c>
      <c r="V26" s="4">
        <f t="shared" si="34"/>
        <v>497762</v>
      </c>
      <c r="W26" s="4">
        <f t="shared" si="34"/>
        <v>408048</v>
      </c>
      <c r="X26" s="4">
        <f t="shared" si="34"/>
        <v>336534</v>
      </c>
      <c r="Y26" s="4">
        <f t="shared" si="34"/>
        <v>185521</v>
      </c>
      <c r="Z26" s="4">
        <f t="shared" si="34"/>
        <v>-167787</v>
      </c>
      <c r="AA26" s="55">
        <f t="shared" si="34"/>
        <v>-210300</v>
      </c>
      <c r="AB26" s="4">
        <f t="shared" si="34"/>
        <v>3073</v>
      </c>
      <c r="AC26" s="4">
        <f t="shared" si="34"/>
        <v>63448</v>
      </c>
      <c r="AD26" s="74">
        <v>-72337</v>
      </c>
      <c r="AE26" s="4">
        <f t="shared" si="34"/>
        <v>-136431</v>
      </c>
      <c r="AF26" s="4">
        <f t="shared" si="34"/>
        <v>-66661</v>
      </c>
      <c r="AG26" s="4">
        <f t="shared" si="34"/>
        <v>-232755</v>
      </c>
      <c r="AH26" s="4">
        <f t="shared" si="34"/>
        <v>-88810</v>
      </c>
      <c r="AI26" s="4">
        <f t="shared" ref="AI26:BA26" si="35">AI27-AI28</f>
        <v>-149846</v>
      </c>
      <c r="AJ26" s="4">
        <f t="shared" si="35"/>
        <v>-281199</v>
      </c>
      <c r="AK26" s="4">
        <f t="shared" si="35"/>
        <v>-498436</v>
      </c>
      <c r="AL26" s="4">
        <f t="shared" si="35"/>
        <v>-620287</v>
      </c>
      <c r="AM26" s="4">
        <f t="shared" si="35"/>
        <v>-1109498</v>
      </c>
      <c r="AN26" s="55">
        <v>-105787.055000001</v>
      </c>
      <c r="AO26" s="4">
        <f t="shared" si="35"/>
        <v>118315</v>
      </c>
      <c r="AP26" s="4">
        <f t="shared" si="35"/>
        <v>-6892</v>
      </c>
      <c r="AQ26" s="4">
        <f t="shared" si="35"/>
        <v>-663055</v>
      </c>
      <c r="AR26" s="4">
        <f t="shared" si="35"/>
        <v>-745754</v>
      </c>
      <c r="AS26" s="4">
        <f t="shared" si="35"/>
        <v>-727694</v>
      </c>
      <c r="AT26" s="4">
        <f t="shared" si="35"/>
        <v>-997453</v>
      </c>
      <c r="AU26" s="4">
        <f t="shared" si="35"/>
        <v>-902550</v>
      </c>
      <c r="AV26" s="4">
        <f t="shared" si="35"/>
        <v>-898258</v>
      </c>
      <c r="AW26" s="4">
        <f t="shared" si="35"/>
        <v>-765721</v>
      </c>
      <c r="AX26" s="4">
        <f t="shared" si="35"/>
        <v>-993826</v>
      </c>
      <c r="AY26" s="4">
        <f t="shared" si="35"/>
        <v>-1075193</v>
      </c>
      <c r="AZ26" s="4">
        <f>AZ27-AZ28</f>
        <v>-1734231</v>
      </c>
      <c r="BA26" s="55">
        <f t="shared" si="35"/>
        <v>-1191224.0161699988</v>
      </c>
      <c r="BB26" s="4">
        <f t="shared" ref="BB26:BK26" si="36">BB27-BB28</f>
        <v>111990</v>
      </c>
      <c r="BC26" s="4">
        <f t="shared" si="36"/>
        <v>45980</v>
      </c>
      <c r="BD26" s="4">
        <f t="shared" si="36"/>
        <v>-281198</v>
      </c>
      <c r="BE26" s="4">
        <f t="shared" si="36"/>
        <v>-247183</v>
      </c>
      <c r="BF26" s="4">
        <f t="shared" si="36"/>
        <v>-318453.9879999999</v>
      </c>
      <c r="BG26" s="4">
        <f t="shared" si="36"/>
        <v>-379876.70500000007</v>
      </c>
      <c r="BH26" s="4">
        <f t="shared" si="36"/>
        <v>-278005</v>
      </c>
      <c r="BI26" s="4">
        <f t="shared" si="36"/>
        <v>-194434</v>
      </c>
      <c r="BJ26" s="4">
        <f t="shared" si="36"/>
        <v>-551754</v>
      </c>
      <c r="BK26" s="4">
        <f t="shared" si="36"/>
        <v>-796371</v>
      </c>
      <c r="BL26" s="4">
        <f t="shared" ref="BL26:CM26" si="37">BL27-BL28</f>
        <v>-835211</v>
      </c>
      <c r="BM26" s="4">
        <f t="shared" si="37"/>
        <v>-1513572</v>
      </c>
      <c r="BN26" s="55">
        <f>BN27-BN28</f>
        <v>-1769806.8469999991</v>
      </c>
      <c r="BO26" s="4">
        <f t="shared" si="37"/>
        <v>138560</v>
      </c>
      <c r="BP26" s="117">
        <f t="shared" si="37"/>
        <v>147312</v>
      </c>
      <c r="BQ26" s="4">
        <f t="shared" si="37"/>
        <v>-264068</v>
      </c>
      <c r="BR26" s="4">
        <f t="shared" si="37"/>
        <v>-215877</v>
      </c>
      <c r="BS26" s="4">
        <f t="shared" si="37"/>
        <v>-54726</v>
      </c>
      <c r="BT26" s="4">
        <f t="shared" si="37"/>
        <v>-209345</v>
      </c>
      <c r="BU26" s="4">
        <f t="shared" si="37"/>
        <v>696</v>
      </c>
      <c r="BV26" s="4">
        <f t="shared" si="37"/>
        <v>-5413</v>
      </c>
      <c r="BW26" s="4">
        <f t="shared" si="37"/>
        <v>-6932</v>
      </c>
      <c r="BX26" s="4">
        <f t="shared" si="37"/>
        <v>-213737</v>
      </c>
      <c r="BY26" s="117">
        <f t="shared" si="37"/>
        <v>-307314</v>
      </c>
      <c r="BZ26" s="4">
        <f t="shared" si="37"/>
        <v>-1266914</v>
      </c>
      <c r="CA26" s="135">
        <v>-1957388.8759056572</v>
      </c>
      <c r="CB26" s="131">
        <f t="shared" si="37"/>
        <v>166775</v>
      </c>
      <c r="CC26" s="4">
        <f t="shared" si="37"/>
        <v>52693</v>
      </c>
      <c r="CD26" s="4">
        <f t="shared" si="37"/>
        <v>-26271</v>
      </c>
      <c r="CE26" s="4">
        <f t="shared" si="37"/>
        <v>-175260</v>
      </c>
      <c r="CF26" s="4">
        <f t="shared" si="37"/>
        <v>176008</v>
      </c>
      <c r="CG26" s="4">
        <f t="shared" si="37"/>
        <v>508351</v>
      </c>
      <c r="CH26" s="4">
        <f t="shared" si="37"/>
        <v>531747</v>
      </c>
      <c r="CI26" s="4">
        <f t="shared" si="37"/>
        <v>565186</v>
      </c>
      <c r="CJ26" s="4">
        <f t="shared" si="37"/>
        <v>497470</v>
      </c>
      <c r="CK26" s="4">
        <f t="shared" si="37"/>
        <v>195764</v>
      </c>
      <c r="CL26" s="4">
        <f t="shared" si="37"/>
        <v>-31621</v>
      </c>
      <c r="CM26" s="4">
        <f t="shared" si="37"/>
        <v>-684838</v>
      </c>
      <c r="CN26" s="188">
        <f>CN27-CN28</f>
        <v>-1716170.5079209451</v>
      </c>
      <c r="CO26" s="212">
        <f>CO27-CO28</f>
        <v>-31811</v>
      </c>
      <c r="CP26" s="4">
        <f>CP27-CP28</f>
        <v>-172785</v>
      </c>
      <c r="CQ26" s="4">
        <f t="shared" ref="CQ26:CZ26" si="38">CQ27-CQ28</f>
        <v>-655427</v>
      </c>
      <c r="CR26" s="4">
        <f t="shared" si="38"/>
        <v>-896039</v>
      </c>
      <c r="CS26" s="4">
        <f t="shared" si="38"/>
        <v>-540583</v>
      </c>
      <c r="CT26" s="4">
        <f t="shared" si="38"/>
        <v>-384483</v>
      </c>
      <c r="CU26" s="4">
        <f t="shared" si="38"/>
        <v>-481572</v>
      </c>
      <c r="CV26" s="4">
        <f t="shared" si="38"/>
        <v>-323099</v>
      </c>
      <c r="CW26" s="4">
        <f t="shared" si="38"/>
        <v>-605654</v>
      </c>
      <c r="CX26" s="4">
        <f t="shared" si="38"/>
        <v>-895908</v>
      </c>
      <c r="CY26" s="4">
        <f t="shared" si="38"/>
        <v>-1116735</v>
      </c>
      <c r="CZ26" s="4">
        <f t="shared" si="38"/>
        <v>-1693486</v>
      </c>
      <c r="DA26" s="197">
        <f t="shared" ref="DA26:DI26" si="39">DA27-DA28</f>
        <v>-2002912.6950000003</v>
      </c>
      <c r="DB26" s="4">
        <f t="shared" si="39"/>
        <v>-72552</v>
      </c>
      <c r="DC26" s="4">
        <f t="shared" si="39"/>
        <v>327790</v>
      </c>
      <c r="DD26" s="4">
        <f t="shared" si="39"/>
        <v>-107164</v>
      </c>
      <c r="DE26" s="4">
        <f t="shared" si="39"/>
        <v>-248797</v>
      </c>
      <c r="DF26" s="4">
        <f t="shared" si="39"/>
        <v>77914</v>
      </c>
      <c r="DG26" s="4">
        <f t="shared" si="39"/>
        <v>160899</v>
      </c>
      <c r="DH26" s="4">
        <f t="shared" si="39"/>
        <v>8066</v>
      </c>
      <c r="DI26" s="197">
        <f t="shared" si="39"/>
        <v>-1854308.6441444997</v>
      </c>
      <c r="DJ26" s="81"/>
      <c r="DK26" s="81"/>
    </row>
    <row r="27" spans="1:117" ht="15" customHeight="1">
      <c r="A27" s="9" t="s">
        <v>2</v>
      </c>
      <c r="B27" s="7">
        <v>738730.43738999998</v>
      </c>
      <c r="C27" s="7">
        <v>1496214.543310001</v>
      </c>
      <c r="D27" s="7">
        <v>2090135.442520001</v>
      </c>
      <c r="E27" s="7">
        <v>2882457.848590001</v>
      </c>
      <c r="F27" s="7">
        <v>3782641.2277700012</v>
      </c>
      <c r="G27" s="7">
        <v>4531043.6172800008</v>
      </c>
      <c r="H27" s="7">
        <v>5458430.358</v>
      </c>
      <c r="I27" s="7">
        <v>6191180.0527399983</v>
      </c>
      <c r="J27" s="7">
        <v>6845735.7762399986</v>
      </c>
      <c r="K27" s="7">
        <v>7585424.4675899986</v>
      </c>
      <c r="L27" s="7">
        <v>8307649.1372800004</v>
      </c>
      <c r="M27" s="7">
        <v>9060762.7689999994</v>
      </c>
      <c r="N27" s="53">
        <v>8881100</v>
      </c>
      <c r="O27" s="21"/>
      <c r="P27" s="7">
        <v>1669198.828</v>
      </c>
      <c r="Q27" s="7">
        <v>2249492.966</v>
      </c>
      <c r="R27" s="57">
        <v>3107887.2179999999</v>
      </c>
      <c r="S27" s="57">
        <v>4043265</v>
      </c>
      <c r="T27" s="57">
        <v>4975650</v>
      </c>
      <c r="U27" s="57">
        <v>5704580</v>
      </c>
      <c r="V27" s="57">
        <v>6381966</v>
      </c>
      <c r="W27" s="57">
        <v>7005599</v>
      </c>
      <c r="X27" s="57">
        <v>7845412</v>
      </c>
      <c r="Y27" s="57">
        <v>8514739</v>
      </c>
      <c r="Z27" s="57">
        <v>9428037</v>
      </c>
      <c r="AA27" s="53">
        <v>9308600</v>
      </c>
      <c r="AB27" s="57">
        <v>800105</v>
      </c>
      <c r="AC27" s="57">
        <v>1630130</v>
      </c>
      <c r="AD27" s="57">
        <v>2293374</v>
      </c>
      <c r="AE27" s="57">
        <v>3179605</v>
      </c>
      <c r="AF27" s="57">
        <v>3961874</v>
      </c>
      <c r="AG27" s="57">
        <v>4649858</v>
      </c>
      <c r="AH27" s="57">
        <v>5627362</v>
      </c>
      <c r="AI27" s="57">
        <v>6363995</v>
      </c>
      <c r="AJ27" s="57">
        <v>7065440</v>
      </c>
      <c r="AK27" s="57">
        <v>7815049</v>
      </c>
      <c r="AL27" s="57">
        <v>8535979</v>
      </c>
      <c r="AM27" s="57">
        <v>9464805</v>
      </c>
      <c r="AN27" s="53">
        <v>10054036.58</v>
      </c>
      <c r="AO27" s="57">
        <v>892172</v>
      </c>
      <c r="AP27" s="57">
        <v>1769841</v>
      </c>
      <c r="AQ27" s="57">
        <v>2328483</v>
      </c>
      <c r="AR27" s="57">
        <v>3377366</v>
      </c>
      <c r="AS27" s="57">
        <v>4306124</v>
      </c>
      <c r="AT27" s="57">
        <v>5151400</v>
      </c>
      <c r="AU27" s="57">
        <v>6161216</v>
      </c>
      <c r="AV27" s="57">
        <v>7025238</v>
      </c>
      <c r="AW27" s="57">
        <v>8072263</v>
      </c>
      <c r="AX27" s="57">
        <v>8862133</v>
      </c>
      <c r="AY27" s="57">
        <v>9768505</v>
      </c>
      <c r="AZ27" s="57">
        <v>10700027</v>
      </c>
      <c r="BA27" s="53">
        <v>9740530.5260000005</v>
      </c>
      <c r="BB27" s="57">
        <v>1040998</v>
      </c>
      <c r="BC27" s="83">
        <v>2012699</v>
      </c>
      <c r="BD27" s="83">
        <v>2786589</v>
      </c>
      <c r="BE27" s="83">
        <v>3871738</v>
      </c>
      <c r="BF27" s="83">
        <v>4838920.2889999999</v>
      </c>
      <c r="BG27" s="84">
        <v>5775441.5729999999</v>
      </c>
      <c r="BH27" s="83">
        <v>6803056</v>
      </c>
      <c r="BI27" s="83">
        <v>7815834</v>
      </c>
      <c r="BJ27" s="84">
        <v>8713443</v>
      </c>
      <c r="BK27" s="83">
        <v>9851149</v>
      </c>
      <c r="BL27" s="83">
        <v>10913479</v>
      </c>
      <c r="BM27" s="83">
        <v>12110851</v>
      </c>
      <c r="BN27" s="53">
        <v>10855866.751</v>
      </c>
      <c r="BO27" s="86">
        <v>1108007</v>
      </c>
      <c r="BP27" s="86">
        <v>2823543</v>
      </c>
      <c r="BQ27" s="86">
        <v>3843462</v>
      </c>
      <c r="BR27" s="86">
        <v>4264229</v>
      </c>
      <c r="BS27" s="86">
        <v>6831749</v>
      </c>
      <c r="BT27" s="86">
        <v>6564077</v>
      </c>
      <c r="BU27" s="86">
        <v>7805818</v>
      </c>
      <c r="BV27" s="86">
        <v>8855924</v>
      </c>
      <c r="BW27" s="86">
        <v>9900743</v>
      </c>
      <c r="BX27" s="86">
        <v>10934338</v>
      </c>
      <c r="BY27" s="86">
        <v>12063916</v>
      </c>
      <c r="BZ27" s="7">
        <v>13216762</v>
      </c>
      <c r="CA27" s="134">
        <v>12912863.821000002</v>
      </c>
      <c r="CB27" s="121">
        <v>1342740</v>
      </c>
      <c r="CC27" s="121">
        <v>2453323</v>
      </c>
      <c r="CD27" s="121">
        <v>3503406</v>
      </c>
      <c r="CE27" s="121">
        <v>4744039</v>
      </c>
      <c r="CF27" s="121">
        <v>6228705</v>
      </c>
      <c r="CG27" s="121">
        <v>7814659</v>
      </c>
      <c r="CH27" s="121">
        <v>9075701</v>
      </c>
      <c r="CI27" s="121">
        <v>10198362</v>
      </c>
      <c r="CJ27" s="121">
        <v>11244992</v>
      </c>
      <c r="CK27" s="121">
        <v>12315065</v>
      </c>
      <c r="CL27" s="121">
        <v>13335030</v>
      </c>
      <c r="CM27" s="121">
        <v>14575306</v>
      </c>
      <c r="CN27" s="186">
        <v>14689921.317000002</v>
      </c>
      <c r="CO27" s="173">
        <v>1283239</v>
      </c>
      <c r="CP27" s="121">
        <v>2498414</v>
      </c>
      <c r="CQ27" s="121">
        <v>3420650</v>
      </c>
      <c r="CR27" s="121">
        <v>4629912</v>
      </c>
      <c r="CS27" s="121">
        <v>6173698</v>
      </c>
      <c r="CT27" s="121">
        <v>7691876</v>
      </c>
      <c r="CU27" s="121">
        <v>8908744</v>
      </c>
      <c r="CV27" s="121">
        <v>10273319</v>
      </c>
      <c r="CW27" s="121">
        <v>11345722</v>
      </c>
      <c r="CX27" s="121">
        <v>12481940</v>
      </c>
      <c r="CY27" s="121">
        <v>13564846</v>
      </c>
      <c r="CZ27" s="121">
        <v>15136553</v>
      </c>
      <c r="DA27" s="195">
        <v>15268271.353</v>
      </c>
      <c r="DB27" s="121">
        <v>1322453</v>
      </c>
      <c r="DC27" s="121">
        <v>3122604</v>
      </c>
      <c r="DD27" s="121">
        <v>4116033</v>
      </c>
      <c r="DE27" s="121">
        <v>5349931</v>
      </c>
      <c r="DF27" s="121">
        <v>7002581</v>
      </c>
      <c r="DG27" s="121">
        <v>8556416</v>
      </c>
      <c r="DH27" s="121">
        <v>9889571</v>
      </c>
      <c r="DI27" s="195">
        <v>16268955.012429999</v>
      </c>
      <c r="DJ27" s="81"/>
    </row>
    <row r="28" spans="1:117" ht="15" customHeight="1">
      <c r="A28" s="9" t="s">
        <v>7</v>
      </c>
      <c r="B28" s="7">
        <v>614152.68689000001</v>
      </c>
      <c r="C28" s="7">
        <v>1264619.7590500009</v>
      </c>
      <c r="D28" s="7">
        <v>1936692.8496500009</v>
      </c>
      <c r="E28" s="7">
        <v>2722376.1475500008</v>
      </c>
      <c r="F28" s="7">
        <v>3358745.0692200009</v>
      </c>
      <c r="G28" s="7">
        <v>4111120.331220001</v>
      </c>
      <c r="H28" s="7">
        <v>4823565.142</v>
      </c>
      <c r="I28" s="7">
        <v>5506794.1576400017</v>
      </c>
      <c r="J28" s="7">
        <v>6173693.9038500022</v>
      </c>
      <c r="K28" s="7">
        <v>7083052.5200900007</v>
      </c>
      <c r="L28" s="7">
        <v>7934841.4796700012</v>
      </c>
      <c r="M28" s="7">
        <v>9125340.9749999996</v>
      </c>
      <c r="N28" s="53">
        <v>9076300</v>
      </c>
      <c r="O28" s="21">
        <v>728690.54</v>
      </c>
      <c r="P28" s="7">
        <v>1506384.7409999999</v>
      </c>
      <c r="Q28" s="7">
        <v>2190989.6409999998</v>
      </c>
      <c r="R28" s="57">
        <v>2977077.531</v>
      </c>
      <c r="S28" s="57">
        <v>3672965</v>
      </c>
      <c r="T28" s="57">
        <v>4412612</v>
      </c>
      <c r="U28" s="57">
        <v>5203499</v>
      </c>
      <c r="V28" s="57">
        <v>5884204</v>
      </c>
      <c r="W28" s="57">
        <v>6597551</v>
      </c>
      <c r="X28" s="57">
        <v>7508878</v>
      </c>
      <c r="Y28" s="57">
        <v>8329218</v>
      </c>
      <c r="Z28" s="57">
        <v>9595824</v>
      </c>
      <c r="AA28" s="53">
        <v>9518900</v>
      </c>
      <c r="AB28" s="57">
        <v>797032</v>
      </c>
      <c r="AC28" s="57">
        <v>1566682</v>
      </c>
      <c r="AD28" s="57">
        <v>2365711</v>
      </c>
      <c r="AE28" s="57">
        <v>3316036</v>
      </c>
      <c r="AF28" s="57">
        <v>4028535</v>
      </c>
      <c r="AG28" s="57">
        <v>4882613</v>
      </c>
      <c r="AH28" s="57">
        <v>5716172</v>
      </c>
      <c r="AI28" s="57">
        <v>6513841</v>
      </c>
      <c r="AJ28" s="57">
        <v>7346639</v>
      </c>
      <c r="AK28" s="57">
        <v>8313485</v>
      </c>
      <c r="AL28" s="57">
        <v>9156266</v>
      </c>
      <c r="AM28" s="57">
        <v>10574303</v>
      </c>
      <c r="AN28" s="53">
        <v>10159823.635</v>
      </c>
      <c r="AO28" s="57">
        <v>773857</v>
      </c>
      <c r="AP28" s="57">
        <v>1776733</v>
      </c>
      <c r="AQ28" s="57">
        <v>2991538</v>
      </c>
      <c r="AR28" s="57">
        <v>4123120</v>
      </c>
      <c r="AS28" s="57">
        <v>5033818</v>
      </c>
      <c r="AT28" s="57">
        <v>6148853</v>
      </c>
      <c r="AU28" s="57">
        <v>7063766</v>
      </c>
      <c r="AV28" s="57">
        <v>7923496</v>
      </c>
      <c r="AW28" s="57">
        <v>8837984</v>
      </c>
      <c r="AX28" s="57">
        <v>9855959</v>
      </c>
      <c r="AY28" s="57">
        <v>10843698</v>
      </c>
      <c r="AZ28" s="57">
        <v>12434258</v>
      </c>
      <c r="BA28" s="53">
        <v>10931754.542169999</v>
      </c>
      <c r="BB28" s="57">
        <v>929008</v>
      </c>
      <c r="BC28" s="83">
        <v>1966719</v>
      </c>
      <c r="BD28" s="83">
        <v>3067787</v>
      </c>
      <c r="BE28" s="83">
        <v>4118921</v>
      </c>
      <c r="BF28" s="83">
        <v>5157374.2769999998</v>
      </c>
      <c r="BG28" s="84">
        <v>6155318.2779999999</v>
      </c>
      <c r="BH28" s="83">
        <v>7081061</v>
      </c>
      <c r="BI28" s="83">
        <v>8010268</v>
      </c>
      <c r="BJ28" s="84">
        <v>9265197</v>
      </c>
      <c r="BK28" s="83">
        <v>10647520</v>
      </c>
      <c r="BL28" s="83">
        <v>11748690</v>
      </c>
      <c r="BM28" s="83">
        <v>13624423</v>
      </c>
      <c r="BN28" s="53">
        <v>12625673.597999999</v>
      </c>
      <c r="BO28" s="86">
        <v>969447</v>
      </c>
      <c r="BP28" s="86">
        <v>2676231</v>
      </c>
      <c r="BQ28" s="86">
        <v>4107530</v>
      </c>
      <c r="BR28" s="86">
        <v>4480106</v>
      </c>
      <c r="BS28" s="86">
        <v>6886475</v>
      </c>
      <c r="BT28" s="86">
        <v>6773422</v>
      </c>
      <c r="BU28" s="86">
        <v>7805122</v>
      </c>
      <c r="BV28" s="86">
        <v>8861337</v>
      </c>
      <c r="BW28" s="86">
        <v>9907675</v>
      </c>
      <c r="BX28" s="86">
        <v>11148075</v>
      </c>
      <c r="BY28" s="86">
        <v>12371230</v>
      </c>
      <c r="BZ28" s="7">
        <v>14483676</v>
      </c>
      <c r="CA28" s="134">
        <v>14870252.69690566</v>
      </c>
      <c r="CB28" s="121">
        <v>1175965</v>
      </c>
      <c r="CC28" s="121">
        <v>2400630</v>
      </c>
      <c r="CD28" s="121">
        <v>3529677</v>
      </c>
      <c r="CE28" s="121">
        <v>4919299</v>
      </c>
      <c r="CF28" s="121">
        <v>6052697</v>
      </c>
      <c r="CG28" s="121">
        <v>7306308</v>
      </c>
      <c r="CH28" s="121">
        <v>8543954</v>
      </c>
      <c r="CI28" s="121">
        <v>9633176</v>
      </c>
      <c r="CJ28" s="121">
        <v>10747522</v>
      </c>
      <c r="CK28" s="121">
        <v>12119301</v>
      </c>
      <c r="CL28" s="121">
        <v>13366651</v>
      </c>
      <c r="CM28" s="121">
        <v>15260144</v>
      </c>
      <c r="CN28" s="186">
        <v>16406091.824920947</v>
      </c>
      <c r="CO28" s="173">
        <v>1315050</v>
      </c>
      <c r="CP28" s="121">
        <v>2671199</v>
      </c>
      <c r="CQ28" s="121">
        <v>4076077</v>
      </c>
      <c r="CR28" s="121">
        <v>5525951</v>
      </c>
      <c r="CS28" s="121">
        <v>6714281</v>
      </c>
      <c r="CT28" s="121">
        <v>8076359</v>
      </c>
      <c r="CU28" s="121">
        <v>9390316</v>
      </c>
      <c r="CV28" s="121">
        <v>10596418</v>
      </c>
      <c r="CW28" s="121">
        <v>11951376</v>
      </c>
      <c r="CX28" s="121">
        <v>13377848</v>
      </c>
      <c r="CY28" s="121">
        <v>14681581</v>
      </c>
      <c r="CZ28" s="121">
        <v>16830039</v>
      </c>
      <c r="DA28" s="195">
        <v>17271184.048</v>
      </c>
      <c r="DB28" s="121">
        <v>1395005</v>
      </c>
      <c r="DC28" s="121">
        <v>2794814</v>
      </c>
      <c r="DD28" s="121">
        <v>4223197</v>
      </c>
      <c r="DE28" s="121">
        <v>5598728</v>
      </c>
      <c r="DF28" s="121">
        <v>6924667</v>
      </c>
      <c r="DG28" s="121">
        <v>8395517</v>
      </c>
      <c r="DH28" s="121">
        <v>9881505</v>
      </c>
      <c r="DI28" s="195">
        <v>18123263.656574499</v>
      </c>
      <c r="DJ28" s="421"/>
    </row>
    <row r="29" spans="1:117" ht="15" customHeight="1">
      <c r="A29" s="3" t="s">
        <v>16</v>
      </c>
      <c r="B29" s="4">
        <v>128454.47672999999</v>
      </c>
      <c r="C29" s="4">
        <v>234434.49669999996</v>
      </c>
      <c r="D29" s="4">
        <v>170407.15112999995</v>
      </c>
      <c r="E29" s="4">
        <v>154775.88617999997</v>
      </c>
      <c r="F29" s="4">
        <v>385167.30856999999</v>
      </c>
      <c r="G29" s="4">
        <v>340578.79108000005</v>
      </c>
      <c r="H29" s="4">
        <v>507313.19199999998</v>
      </c>
      <c r="I29" s="4">
        <v>518668.60805000004</v>
      </c>
      <c r="J29" s="4">
        <v>475901.24179000006</v>
      </c>
      <c r="K29" s="4">
        <v>290879.62894000008</v>
      </c>
      <c r="L29" s="4">
        <v>146275.23418000014</v>
      </c>
      <c r="M29" s="4">
        <f>M30-M31</f>
        <v>-302149.47199999914</v>
      </c>
      <c r="N29" s="55">
        <v>-321800</v>
      </c>
      <c r="O29" s="15">
        <f t="shared" ref="O29:AH29" si="40">O30-O31</f>
        <v>53602.820999999996</v>
      </c>
      <c r="P29" s="4">
        <f t="shared" si="40"/>
        <v>99786.763360000215</v>
      </c>
      <c r="Q29" s="54">
        <f t="shared" si="40"/>
        <v>-7682.0119999998715</v>
      </c>
      <c r="R29" s="54">
        <f t="shared" si="40"/>
        <v>43648.851559999865</v>
      </c>
      <c r="S29" s="54">
        <f t="shared" si="40"/>
        <v>246223.83599999966</v>
      </c>
      <c r="T29" s="54">
        <f t="shared" si="40"/>
        <v>411878</v>
      </c>
      <c r="U29" s="54">
        <f t="shared" si="40"/>
        <v>290422.34280000022</v>
      </c>
      <c r="V29" s="54">
        <f t="shared" si="40"/>
        <v>227879.13100000005</v>
      </c>
      <c r="W29" s="54">
        <f t="shared" si="40"/>
        <v>128636.48099999968</v>
      </c>
      <c r="X29" s="54">
        <f t="shared" si="40"/>
        <v>22065.566999999806</v>
      </c>
      <c r="Y29" s="54">
        <f t="shared" si="40"/>
        <v>-140685.27699999977</v>
      </c>
      <c r="Z29" s="54">
        <f t="shared" si="40"/>
        <v>-485044.18599999975</v>
      </c>
      <c r="AA29" s="55">
        <f t="shared" si="40"/>
        <v>-438300</v>
      </c>
      <c r="AB29" s="54">
        <f t="shared" si="40"/>
        <v>-27008.783000000054</v>
      </c>
      <c r="AC29" s="54">
        <f t="shared" si="40"/>
        <v>-9269.5239999999758</v>
      </c>
      <c r="AD29" s="76">
        <v>-101706.88614000008</v>
      </c>
      <c r="AE29" s="54">
        <f t="shared" si="40"/>
        <v>-170325.64399999985</v>
      </c>
      <c r="AF29" s="54">
        <f t="shared" si="40"/>
        <v>-92020.585659999866</v>
      </c>
      <c r="AG29" s="54">
        <f t="shared" si="40"/>
        <v>-208697</v>
      </c>
      <c r="AH29" s="54">
        <f t="shared" si="40"/>
        <v>-115099.53200000012</v>
      </c>
      <c r="AI29" s="54">
        <f t="shared" ref="AI29:BA29" si="41">AI30-AI31</f>
        <v>-216342.46299999952</v>
      </c>
      <c r="AJ29" s="54">
        <f t="shared" si="41"/>
        <v>-335327.7209999999</v>
      </c>
      <c r="AK29" s="54">
        <f t="shared" si="41"/>
        <v>-600909.80800000019</v>
      </c>
      <c r="AL29" s="54">
        <f t="shared" si="41"/>
        <v>-709090.36600000039</v>
      </c>
      <c r="AM29" s="54">
        <f t="shared" si="41"/>
        <v>-1241962.0246699993</v>
      </c>
      <c r="AN29" s="55">
        <v>-341991.77900000202</v>
      </c>
      <c r="AO29" s="54">
        <f t="shared" si="41"/>
        <v>145495.451</v>
      </c>
      <c r="AP29" s="54">
        <f t="shared" si="41"/>
        <v>140973.01899999985</v>
      </c>
      <c r="AQ29" s="54">
        <f t="shared" si="41"/>
        <v>-553552.96299999999</v>
      </c>
      <c r="AR29" s="54">
        <f t="shared" si="41"/>
        <v>-658430.76099999994</v>
      </c>
      <c r="AS29" s="54">
        <f t="shared" si="41"/>
        <v>-659587.17199999979</v>
      </c>
      <c r="AT29" s="54">
        <f t="shared" si="41"/>
        <v>-939419.41299999971</v>
      </c>
      <c r="AU29" s="54">
        <f t="shared" si="41"/>
        <v>-920391.10199999996</v>
      </c>
      <c r="AV29" s="54">
        <f t="shared" si="41"/>
        <v>-950438.33499999996</v>
      </c>
      <c r="AW29" s="54">
        <f t="shared" si="41"/>
        <v>-838941.25799999945</v>
      </c>
      <c r="AX29" s="54">
        <f t="shared" si="41"/>
        <v>-1117742.949</v>
      </c>
      <c r="AY29" s="54">
        <f t="shared" si="41"/>
        <v>-1155026.676</v>
      </c>
      <c r="AZ29" s="54">
        <f>AZ30-AZ31</f>
        <v>-1960876.7939999988</v>
      </c>
      <c r="BA29" s="55">
        <f t="shared" si="41"/>
        <v>-1157978.0899999999</v>
      </c>
      <c r="BB29" s="54">
        <f t="shared" ref="BB29:CN29" si="42">BB30-BB31</f>
        <v>-22576.613000000012</v>
      </c>
      <c r="BC29" s="54">
        <f t="shared" si="42"/>
        <v>-104207.65699999989</v>
      </c>
      <c r="BD29" s="54">
        <f t="shared" si="42"/>
        <v>-401343.88299999991</v>
      </c>
      <c r="BE29" s="54">
        <f t="shared" si="42"/>
        <v>-406432.78599999985</v>
      </c>
      <c r="BF29" s="54">
        <f t="shared" si="42"/>
        <v>-518798.9169999999</v>
      </c>
      <c r="BG29" s="54">
        <f t="shared" si="42"/>
        <v>-620133.72900000028</v>
      </c>
      <c r="BH29" s="54">
        <f>BH30-BH31</f>
        <v>-652119.98400000017</v>
      </c>
      <c r="BI29" s="54">
        <f>BI30-BI31</f>
        <v>-596051.0139999995</v>
      </c>
      <c r="BJ29" s="54">
        <f t="shared" si="42"/>
        <v>-919146.82300000079</v>
      </c>
      <c r="BK29" s="54">
        <f t="shared" si="42"/>
        <v>-1242437.2129999995</v>
      </c>
      <c r="BL29" s="54">
        <f t="shared" si="42"/>
        <v>-1239928.7939999998</v>
      </c>
      <c r="BM29" s="54">
        <f t="shared" si="42"/>
        <v>-1889248.0899999999</v>
      </c>
      <c r="BN29" s="55">
        <f t="shared" si="42"/>
        <v>-1795074.1850000005</v>
      </c>
      <c r="BO29" s="54">
        <f t="shared" si="42"/>
        <v>105353.71799999999</v>
      </c>
      <c r="BP29" s="119">
        <f t="shared" si="42"/>
        <v>-6220.1790000000037</v>
      </c>
      <c r="BQ29" s="54">
        <f t="shared" si="42"/>
        <v>-274666.55300000007</v>
      </c>
      <c r="BR29" s="54">
        <f t="shared" si="42"/>
        <v>-194503.71800000034</v>
      </c>
      <c r="BS29" s="54">
        <f t="shared" si="42"/>
        <v>-124781.00300000003</v>
      </c>
      <c r="BT29" s="54">
        <f t="shared" si="42"/>
        <v>-236599.83400000073</v>
      </c>
      <c r="BU29" s="54">
        <f t="shared" si="42"/>
        <v>-140162.25700000022</v>
      </c>
      <c r="BV29" s="54">
        <f t="shared" si="42"/>
        <v>-166723.6660000002</v>
      </c>
      <c r="BW29" s="54">
        <f t="shared" si="42"/>
        <v>-231453.56300000008</v>
      </c>
      <c r="BX29" s="54">
        <f t="shared" si="42"/>
        <v>-484910.73999999929</v>
      </c>
      <c r="BY29" s="119">
        <f t="shared" si="42"/>
        <v>-572440.25700000115</v>
      </c>
      <c r="BZ29" s="54">
        <f t="shared" si="42"/>
        <v>-1531000.7019999996</v>
      </c>
      <c r="CA29" s="137">
        <v>-2065121.0720000006</v>
      </c>
      <c r="CB29" s="133">
        <f t="shared" si="42"/>
        <v>111979.60499999998</v>
      </c>
      <c r="CC29" s="54">
        <f t="shared" si="42"/>
        <v>-22271.229999999981</v>
      </c>
      <c r="CD29" s="54">
        <f t="shared" si="42"/>
        <v>-126079.60699999984</v>
      </c>
      <c r="CE29" s="54">
        <f t="shared" si="42"/>
        <v>-373733.7070000004</v>
      </c>
      <c r="CF29" s="54">
        <f t="shared" si="42"/>
        <v>-44638.879000000656</v>
      </c>
      <c r="CG29" s="54">
        <f t="shared" ref="CG29:CM29" si="43">CG30-CG31</f>
        <v>256429.41399999987</v>
      </c>
      <c r="CH29" s="54">
        <f t="shared" si="43"/>
        <v>212775.44700000063</v>
      </c>
      <c r="CI29" s="54">
        <f t="shared" si="43"/>
        <v>196913.57100000046</v>
      </c>
      <c r="CJ29" s="54">
        <f t="shared" si="43"/>
        <v>121694.40899999999</v>
      </c>
      <c r="CK29" s="54">
        <f t="shared" si="43"/>
        <v>-197241.80599999987</v>
      </c>
      <c r="CL29" s="54">
        <f t="shared" si="43"/>
        <v>-445419.16300000064</v>
      </c>
      <c r="CM29" s="54">
        <f t="shared" si="43"/>
        <v>-1082619.3420000002</v>
      </c>
      <c r="CN29" s="188">
        <f t="shared" si="42"/>
        <v>-2127544.9340000004</v>
      </c>
      <c r="CO29" s="213">
        <f>CO30-CO31</f>
        <v>-125998.94214000006</v>
      </c>
      <c r="CP29" s="54">
        <f>CP30-CP31</f>
        <v>-273078.73288000003</v>
      </c>
      <c r="CQ29" s="54">
        <f>CQ30-CQ31</f>
        <v>-767290.24922999926</v>
      </c>
      <c r="CR29" s="54">
        <f t="shared" ref="CR29:CZ29" si="44">CR30-CR31</f>
        <v>-985219.2032999997</v>
      </c>
      <c r="CS29" s="54">
        <f t="shared" si="44"/>
        <v>-757023.47642999981</v>
      </c>
      <c r="CT29" s="54">
        <f t="shared" si="44"/>
        <v>-692882.08487999998</v>
      </c>
      <c r="CU29" s="54">
        <f t="shared" si="44"/>
        <v>-887129.45842000004</v>
      </c>
      <c r="CV29" s="54">
        <f t="shared" si="44"/>
        <v>-811578.87555000093</v>
      </c>
      <c r="CW29" s="54">
        <f t="shared" si="44"/>
        <v>-1110222.2715500006</v>
      </c>
      <c r="CX29" s="54">
        <f t="shared" si="44"/>
        <v>-1464583.6548000006</v>
      </c>
      <c r="CY29" s="54">
        <f t="shared" si="44"/>
        <v>-1688408.2127600014</v>
      </c>
      <c r="CZ29" s="54">
        <f t="shared" si="44"/>
        <v>-2222162.9883600008</v>
      </c>
      <c r="DA29" s="197">
        <f t="shared" ref="DA29:DI29" si="45">DA30-DA31</f>
        <v>-2488218.9039999973</v>
      </c>
      <c r="DB29" s="4">
        <f t="shared" si="45"/>
        <v>-250336.72837999999</v>
      </c>
      <c r="DC29" s="4">
        <f t="shared" si="45"/>
        <v>156006.38298999984</v>
      </c>
      <c r="DD29" s="4">
        <f t="shared" si="45"/>
        <v>-272031.90470999992</v>
      </c>
      <c r="DE29" s="4">
        <f t="shared" si="45"/>
        <v>-421228.49941000063</v>
      </c>
      <c r="DF29" s="4">
        <f t="shared" si="45"/>
        <v>-206142.10567999911</v>
      </c>
      <c r="DG29" s="4">
        <f t="shared" si="45"/>
        <v>-176686.95756000001</v>
      </c>
      <c r="DH29" s="4">
        <f t="shared" si="45"/>
        <v>-413083.07550999988</v>
      </c>
      <c r="DI29" s="197">
        <f t="shared" si="45"/>
        <v>-2329743.5172500014</v>
      </c>
      <c r="DJ29" s="81"/>
    </row>
    <row r="30" spans="1:117" ht="15" customHeight="1">
      <c r="A30" s="9" t="s">
        <v>2</v>
      </c>
      <c r="B30" s="7">
        <v>534575.73921999999</v>
      </c>
      <c r="C30" s="7">
        <v>1092181.2601000001</v>
      </c>
      <c r="D30" s="7">
        <v>1493171.2485100001</v>
      </c>
      <c r="E30" s="7">
        <v>2051713.0299500001</v>
      </c>
      <c r="F30" s="7">
        <v>2729948.0578600001</v>
      </c>
      <c r="G30" s="7">
        <v>3250749.12537</v>
      </c>
      <c r="H30" s="7">
        <v>3920224.2459999998</v>
      </c>
      <c r="I30" s="7">
        <v>4412541.0778400004</v>
      </c>
      <c r="J30" s="7">
        <v>4850720.7705800002</v>
      </c>
      <c r="K30" s="7">
        <v>5345626.16976</v>
      </c>
      <c r="L30" s="7">
        <v>5835036.9789300002</v>
      </c>
      <c r="M30" s="7">
        <v>6324332.0710000005</v>
      </c>
      <c r="N30" s="53">
        <v>6162400</v>
      </c>
      <c r="O30" s="21">
        <v>592846.61899999995</v>
      </c>
      <c r="P30" s="7">
        <v>1202303.0453600001</v>
      </c>
      <c r="Q30" s="7">
        <v>1566635.6810000001</v>
      </c>
      <c r="R30" s="57">
        <v>2173089.8755600001</v>
      </c>
      <c r="S30" s="57">
        <v>2860449.2149999999</v>
      </c>
      <c r="T30" s="57">
        <v>3553571</v>
      </c>
      <c r="U30" s="57">
        <v>4004341.716</v>
      </c>
      <c r="V30" s="57">
        <v>4418857.1409999998</v>
      </c>
      <c r="W30" s="57">
        <v>4804021.9649999999</v>
      </c>
      <c r="X30" s="57">
        <v>5379446.5549999997</v>
      </c>
      <c r="Y30" s="57">
        <v>5801473.8399999999</v>
      </c>
      <c r="Z30" s="57">
        <v>6431118.608</v>
      </c>
      <c r="AA30" s="53">
        <v>6379500</v>
      </c>
      <c r="AB30" s="57">
        <v>537722.94799999997</v>
      </c>
      <c r="AC30" s="57">
        <v>1119820.9369999999</v>
      </c>
      <c r="AD30" s="57">
        <v>1555904.1608599999</v>
      </c>
      <c r="AE30" s="57">
        <v>2201160.4369999999</v>
      </c>
      <c r="AF30" s="57">
        <v>2774015.1273400001</v>
      </c>
      <c r="AG30" s="57">
        <v>3235421</v>
      </c>
      <c r="AH30" s="57">
        <v>3945349.085</v>
      </c>
      <c r="AI30" s="57">
        <v>4417954.78</v>
      </c>
      <c r="AJ30" s="57">
        <v>4864704.6950000003</v>
      </c>
      <c r="AK30" s="57">
        <v>5355040.21</v>
      </c>
      <c r="AL30" s="57">
        <v>5823600.432</v>
      </c>
      <c r="AM30" s="57">
        <v>6425082.5013300003</v>
      </c>
      <c r="AN30" s="53">
        <v>6896124.7599999998</v>
      </c>
      <c r="AO30" s="57">
        <v>713014.63199999998</v>
      </c>
      <c r="AP30" s="57">
        <v>1357829.5889999999</v>
      </c>
      <c r="AQ30" s="57">
        <v>1688169.3470000001</v>
      </c>
      <c r="AR30" s="57">
        <v>2473888.6710000001</v>
      </c>
      <c r="AS30" s="57">
        <v>3139122.892</v>
      </c>
      <c r="AT30" s="57">
        <v>3728289.0690000001</v>
      </c>
      <c r="AU30" s="57">
        <v>4445747.1569999997</v>
      </c>
      <c r="AV30" s="57">
        <v>5002885.2189999996</v>
      </c>
      <c r="AW30" s="57">
        <v>5767382.1160000004</v>
      </c>
      <c r="AX30" s="57">
        <v>6284289.0810000002</v>
      </c>
      <c r="AY30" s="57">
        <v>6947007.7130000005</v>
      </c>
      <c r="AZ30" s="57">
        <v>7449482.2010000004</v>
      </c>
      <c r="BA30" s="53">
        <v>6688071.8289999999</v>
      </c>
      <c r="BB30" s="57">
        <v>666661.35199999996</v>
      </c>
      <c r="BC30" s="83">
        <v>1354441.2830000001</v>
      </c>
      <c r="BD30" s="83">
        <v>1842033.6170000001</v>
      </c>
      <c r="BE30" s="83">
        <v>2629096.4070000001</v>
      </c>
      <c r="BF30" s="83">
        <v>3273100.48</v>
      </c>
      <c r="BG30" s="83">
        <v>3893373.9649999999</v>
      </c>
      <c r="BH30" s="83">
        <v>4607336.2659999998</v>
      </c>
      <c r="BI30" s="83">
        <v>5292404.0310000004</v>
      </c>
      <c r="BJ30" s="83">
        <v>5848736.3499999996</v>
      </c>
      <c r="BK30" s="83">
        <v>6642966.5520000001</v>
      </c>
      <c r="BL30" s="83">
        <v>7390955.8880000003</v>
      </c>
      <c r="BM30" s="83">
        <v>8291916.8870000001</v>
      </c>
      <c r="BN30" s="53">
        <v>7502449.9299999997</v>
      </c>
      <c r="BO30" s="86">
        <v>719939.35</v>
      </c>
      <c r="BP30" s="86">
        <v>1511457.3049999999</v>
      </c>
      <c r="BQ30" s="86">
        <v>2044681.5190000001</v>
      </c>
      <c r="BR30" s="86">
        <v>2940675.2549999999</v>
      </c>
      <c r="BS30" s="86">
        <v>3785833.1669999999</v>
      </c>
      <c r="BT30" s="86">
        <v>4546207.18</v>
      </c>
      <c r="BU30" s="86">
        <v>5417747.0640000002</v>
      </c>
      <c r="BV30" s="86">
        <v>6095769.8109999998</v>
      </c>
      <c r="BW30" s="86">
        <v>6774413.6030000001</v>
      </c>
      <c r="BX30" s="86">
        <v>7464213.1330000004</v>
      </c>
      <c r="BY30" s="86">
        <v>8241382.5549999997</v>
      </c>
      <c r="BZ30" s="7">
        <v>9040426.9979999997</v>
      </c>
      <c r="CA30" s="134">
        <v>8795941.8840000015</v>
      </c>
      <c r="CB30" s="121">
        <v>921874.01300000004</v>
      </c>
      <c r="CC30" s="121">
        <v>1667375.7050000001</v>
      </c>
      <c r="CD30" s="121">
        <v>2369239.2540000002</v>
      </c>
      <c r="CE30" s="121">
        <v>3197973.4049999998</v>
      </c>
      <c r="CF30" s="121">
        <v>4310861.4069999997</v>
      </c>
      <c r="CG30" s="121">
        <v>5525262.7659999998</v>
      </c>
      <c r="CH30" s="121">
        <v>6401506.1500000004</v>
      </c>
      <c r="CI30" s="121">
        <v>7116939.1320000002</v>
      </c>
      <c r="CJ30" s="121">
        <v>7801221.6529999999</v>
      </c>
      <c r="CK30" s="121">
        <v>8486612.0050000008</v>
      </c>
      <c r="CL30" s="121">
        <v>9126045.5999999996</v>
      </c>
      <c r="CM30" s="121">
        <v>10003408.824999999</v>
      </c>
      <c r="CN30" s="186">
        <v>10028189.022</v>
      </c>
      <c r="CO30" s="173">
        <v>821224.52960000001</v>
      </c>
      <c r="CP30" s="121">
        <v>1666342.66808</v>
      </c>
      <c r="CQ30" s="121">
        <v>2207785.6844900004</v>
      </c>
      <c r="CR30" s="121">
        <v>3017954.6485100002</v>
      </c>
      <c r="CS30" s="121">
        <v>4150981.8923899997</v>
      </c>
      <c r="CT30" s="121">
        <v>5268725.9936899999</v>
      </c>
      <c r="CU30" s="121">
        <v>6034542.7762900004</v>
      </c>
      <c r="CV30" s="121">
        <v>6935067.5996499993</v>
      </c>
      <c r="CW30" s="121">
        <v>7602680.2847299995</v>
      </c>
      <c r="CX30" s="121">
        <v>8294812.7345600007</v>
      </c>
      <c r="CY30" s="121">
        <v>8959768.4075099993</v>
      </c>
      <c r="CZ30" s="121">
        <v>10116417.08615</v>
      </c>
      <c r="DA30" s="195">
        <v>10239785.519000001</v>
      </c>
      <c r="DB30" s="121">
        <v>834086.23502000002</v>
      </c>
      <c r="DC30" s="121">
        <v>2226828.6477899998</v>
      </c>
      <c r="DD30" s="121">
        <v>2815346.5270700003</v>
      </c>
      <c r="DE30" s="121">
        <v>3598637.5018699998</v>
      </c>
      <c r="DF30" s="121">
        <v>4804227.2382700006</v>
      </c>
      <c r="DG30" s="121">
        <v>5924105.3301499998</v>
      </c>
      <c r="DH30" s="121">
        <v>6764346.33342</v>
      </c>
      <c r="DI30" s="195">
        <v>10929834.963749999</v>
      </c>
      <c r="DJ30" s="81"/>
    </row>
    <row r="31" spans="1:117" ht="15" customHeight="1">
      <c r="A31" s="9" t="s">
        <v>7</v>
      </c>
      <c r="B31" s="7">
        <v>406121.26248999999</v>
      </c>
      <c r="C31" s="7">
        <v>857746.76340000005</v>
      </c>
      <c r="D31" s="7">
        <v>1322764.0973800002</v>
      </c>
      <c r="E31" s="7">
        <v>1896937.1437700002</v>
      </c>
      <c r="F31" s="7">
        <v>2344780.7492900002</v>
      </c>
      <c r="G31" s="7">
        <v>2910170.3342900001</v>
      </c>
      <c r="H31" s="7">
        <v>3412911.054</v>
      </c>
      <c r="I31" s="7">
        <v>3893872.4697900005</v>
      </c>
      <c r="J31" s="7">
        <v>4374819.5287900008</v>
      </c>
      <c r="K31" s="7">
        <v>5054746.5408200007</v>
      </c>
      <c r="L31" s="7">
        <v>5688761.7447500005</v>
      </c>
      <c r="M31" s="7">
        <v>6626481.5429999996</v>
      </c>
      <c r="N31" s="53">
        <v>6484200</v>
      </c>
      <c r="O31" s="21">
        <v>539243.79799999995</v>
      </c>
      <c r="P31" s="7">
        <v>1102516.2819999999</v>
      </c>
      <c r="Q31" s="7">
        <v>1574317.693</v>
      </c>
      <c r="R31" s="57">
        <v>2129441.0240000002</v>
      </c>
      <c r="S31" s="57">
        <v>2614225.3790000002</v>
      </c>
      <c r="T31" s="57">
        <v>3141693</v>
      </c>
      <c r="U31" s="57">
        <v>3713919.3731999998</v>
      </c>
      <c r="V31" s="57">
        <v>4190978.01</v>
      </c>
      <c r="W31" s="57">
        <v>4675385.4840000002</v>
      </c>
      <c r="X31" s="57">
        <v>5357380.9879999999</v>
      </c>
      <c r="Y31" s="57">
        <v>5942159.1169999996</v>
      </c>
      <c r="Z31" s="57">
        <v>6916162.7939999998</v>
      </c>
      <c r="AA31" s="53">
        <v>6817800</v>
      </c>
      <c r="AB31" s="57">
        <v>564731.73100000003</v>
      </c>
      <c r="AC31" s="57">
        <v>1129090.4609999999</v>
      </c>
      <c r="AD31" s="57">
        <v>1657611.047</v>
      </c>
      <c r="AE31" s="57">
        <v>2371486.0809999998</v>
      </c>
      <c r="AF31" s="57">
        <v>2866035.713</v>
      </c>
      <c r="AG31" s="57">
        <v>3444118</v>
      </c>
      <c r="AH31" s="57">
        <v>4060448.6170000001</v>
      </c>
      <c r="AI31" s="57">
        <v>4634297.2429999998</v>
      </c>
      <c r="AJ31" s="57">
        <v>5200032.4160000002</v>
      </c>
      <c r="AK31" s="57">
        <v>5955950.0180000002</v>
      </c>
      <c r="AL31" s="57">
        <v>6532690.7980000004</v>
      </c>
      <c r="AM31" s="57">
        <v>7667044.5259999996</v>
      </c>
      <c r="AN31" s="53">
        <v>7238116.5389999999</v>
      </c>
      <c r="AO31" s="57">
        <v>567519.18099999998</v>
      </c>
      <c r="AP31" s="57">
        <v>1216856.57</v>
      </c>
      <c r="AQ31" s="57">
        <v>2241722.31</v>
      </c>
      <c r="AR31" s="57">
        <v>3132319.432</v>
      </c>
      <c r="AS31" s="57">
        <v>3798710.0639999998</v>
      </c>
      <c r="AT31" s="57">
        <v>4667708.4819999998</v>
      </c>
      <c r="AU31" s="57">
        <v>5366138.2589999996</v>
      </c>
      <c r="AV31" s="57">
        <v>5953323.5539999995</v>
      </c>
      <c r="AW31" s="57">
        <v>6606323.3739999998</v>
      </c>
      <c r="AX31" s="57">
        <v>7402032.0300000003</v>
      </c>
      <c r="AY31" s="57">
        <v>8102034.3890000004</v>
      </c>
      <c r="AZ31" s="57">
        <v>9410358.9949999992</v>
      </c>
      <c r="BA31" s="53">
        <v>7846049.9189999998</v>
      </c>
      <c r="BB31" s="57">
        <v>689237.96499999997</v>
      </c>
      <c r="BC31" s="83">
        <v>1458648.94</v>
      </c>
      <c r="BD31" s="83">
        <v>2243377.5</v>
      </c>
      <c r="BE31" s="83">
        <v>3035529.193</v>
      </c>
      <c r="BF31" s="83">
        <v>3791899.3969999999</v>
      </c>
      <c r="BG31" s="83">
        <v>4513507.6940000001</v>
      </c>
      <c r="BH31" s="83">
        <v>5259456.25</v>
      </c>
      <c r="BI31" s="83">
        <v>5888455.0449999999</v>
      </c>
      <c r="BJ31" s="83">
        <v>6767883.1730000004</v>
      </c>
      <c r="BK31" s="83">
        <v>7885403.7649999997</v>
      </c>
      <c r="BL31" s="83">
        <v>8630884.682</v>
      </c>
      <c r="BM31" s="83">
        <v>10181164.977</v>
      </c>
      <c r="BN31" s="53">
        <v>9297524.1150000002</v>
      </c>
      <c r="BO31" s="86">
        <v>614585.63199999998</v>
      </c>
      <c r="BP31" s="86">
        <v>1517677.4839999999</v>
      </c>
      <c r="BQ31" s="86">
        <v>2319348.0720000002</v>
      </c>
      <c r="BR31" s="86">
        <v>3135178.9730000002</v>
      </c>
      <c r="BS31" s="86">
        <v>3910614.17</v>
      </c>
      <c r="BT31" s="86">
        <v>4782807.0140000004</v>
      </c>
      <c r="BU31" s="86">
        <v>5557909.3210000005</v>
      </c>
      <c r="BV31" s="86">
        <v>6262493.477</v>
      </c>
      <c r="BW31" s="86">
        <v>7005867.1660000002</v>
      </c>
      <c r="BX31" s="86">
        <v>7949123.8729999997</v>
      </c>
      <c r="BY31" s="86">
        <v>8813822.8120000008</v>
      </c>
      <c r="BZ31" s="7">
        <v>10571427.699999999</v>
      </c>
      <c r="CA31" s="134">
        <v>10861062.956000002</v>
      </c>
      <c r="CB31" s="121">
        <v>809894.40800000005</v>
      </c>
      <c r="CC31" s="121">
        <v>1689646.9350000001</v>
      </c>
      <c r="CD31" s="121">
        <v>2495318.861</v>
      </c>
      <c r="CE31" s="121">
        <v>3571707.1120000002</v>
      </c>
      <c r="CF31" s="121">
        <v>4355500.2860000003</v>
      </c>
      <c r="CG31" s="121">
        <v>5268833.352</v>
      </c>
      <c r="CH31" s="121">
        <v>6188730.7029999997</v>
      </c>
      <c r="CI31" s="121">
        <v>6920025.5609999998</v>
      </c>
      <c r="CJ31" s="121">
        <v>7679527.2439999999</v>
      </c>
      <c r="CK31" s="121">
        <v>8683853.8110000007</v>
      </c>
      <c r="CL31" s="121">
        <v>9571464.7630000003</v>
      </c>
      <c r="CM31" s="121">
        <v>11086028.166999999</v>
      </c>
      <c r="CN31" s="186">
        <v>12155733.956</v>
      </c>
      <c r="CO31" s="173">
        <v>947223.47174000007</v>
      </c>
      <c r="CP31" s="121">
        <v>1939421.40096</v>
      </c>
      <c r="CQ31" s="121">
        <v>2975075.9337199996</v>
      </c>
      <c r="CR31" s="121">
        <v>4003173.8518099999</v>
      </c>
      <c r="CS31" s="121">
        <v>4908005.3688199995</v>
      </c>
      <c r="CT31" s="121">
        <v>5961608.0785699999</v>
      </c>
      <c r="CU31" s="121">
        <v>6921672.2347100005</v>
      </c>
      <c r="CV31" s="121">
        <v>7746646.4752000002</v>
      </c>
      <c r="CW31" s="121">
        <v>8712902.5562800001</v>
      </c>
      <c r="CX31" s="121">
        <v>9759396.3893600013</v>
      </c>
      <c r="CY31" s="121">
        <v>10648176.620270001</v>
      </c>
      <c r="CZ31" s="121">
        <v>12338580.074510001</v>
      </c>
      <c r="DA31" s="195">
        <v>12728004.422999999</v>
      </c>
      <c r="DB31" s="121">
        <v>1084422.9634</v>
      </c>
      <c r="DC31" s="121">
        <v>2070822.2648</v>
      </c>
      <c r="DD31" s="121">
        <v>3087378.4317800002</v>
      </c>
      <c r="DE31" s="121">
        <v>4019866.0012800004</v>
      </c>
      <c r="DF31" s="121">
        <v>5010369.3439499997</v>
      </c>
      <c r="DG31" s="121">
        <v>6100792.2877099998</v>
      </c>
      <c r="DH31" s="121">
        <v>7177429.4089299999</v>
      </c>
      <c r="DI31" s="195">
        <v>13259578.481000001</v>
      </c>
      <c r="DJ31" s="81"/>
    </row>
    <row r="32" spans="1:117" ht="15" customHeight="1">
      <c r="A32" s="3" t="s">
        <v>17</v>
      </c>
      <c r="B32" s="4">
        <v>-15709.89136</v>
      </c>
      <c r="C32" s="4">
        <v>-18855.629110000002</v>
      </c>
      <c r="D32" s="4">
        <v>-33964.860689999994</v>
      </c>
      <c r="E32" s="4">
        <v>-18094.340790000009</v>
      </c>
      <c r="F32" s="4">
        <v>16810.58030999999</v>
      </c>
      <c r="G32" s="4">
        <v>54675.326310000004</v>
      </c>
      <c r="H32" s="4">
        <v>97195.553</v>
      </c>
      <c r="I32" s="4">
        <v>124095.07631999999</v>
      </c>
      <c r="J32" s="4">
        <v>148821.81311999998</v>
      </c>
      <c r="K32" s="4">
        <v>162603.16124999998</v>
      </c>
      <c r="L32" s="4">
        <v>178277.83291</v>
      </c>
      <c r="M32" s="4">
        <f>M33-M34</f>
        <v>202231.72999999998</v>
      </c>
      <c r="N32" s="55">
        <v>125900</v>
      </c>
      <c r="O32" s="15">
        <f t="shared" ref="O32:AA32" si="46">O33-O34</f>
        <v>30062.850799999986</v>
      </c>
      <c r="P32" s="4">
        <f t="shared" si="46"/>
        <v>36435.540000000037</v>
      </c>
      <c r="Q32" s="4">
        <f t="shared" si="46"/>
        <v>48575.965000000084</v>
      </c>
      <c r="R32" s="4">
        <f t="shared" si="46"/>
        <v>50522.195000000065</v>
      </c>
      <c r="S32" s="4">
        <f t="shared" si="46"/>
        <v>98778.977999999886</v>
      </c>
      <c r="T32" s="4">
        <f t="shared" si="46"/>
        <v>138036</v>
      </c>
      <c r="U32" s="4">
        <f t="shared" si="46"/>
        <v>182415.87800000003</v>
      </c>
      <c r="V32" s="4">
        <f t="shared" si="46"/>
        <v>234458.10700000008</v>
      </c>
      <c r="W32" s="4">
        <f t="shared" si="46"/>
        <v>247393.12100000004</v>
      </c>
      <c r="X32" s="4">
        <f t="shared" si="46"/>
        <v>260447.61700000009</v>
      </c>
      <c r="Y32" s="4">
        <f>Y33-Y34</f>
        <v>289646.75199999986</v>
      </c>
      <c r="Z32" s="4">
        <f>Z33-Z34</f>
        <v>299550.68099999987</v>
      </c>
      <c r="AA32" s="55">
        <f t="shared" si="46"/>
        <v>223800</v>
      </c>
      <c r="AB32" s="4">
        <f>AB33-AB34</f>
        <v>22494.11599999998</v>
      </c>
      <c r="AC32" s="4">
        <f>AC33-AC34</f>
        <v>41666.701000000001</v>
      </c>
      <c r="AD32" s="74">
        <v>6296.1929999999702</v>
      </c>
      <c r="AE32" s="4">
        <f t="shared" ref="AE32:AM32" si="47">AE33-AE34</f>
        <v>-11066.114999999991</v>
      </c>
      <c r="AF32" s="4">
        <f t="shared" si="47"/>
        <v>-6871.8359999998938</v>
      </c>
      <c r="AG32" s="4">
        <f t="shared" si="47"/>
        <v>-44602</v>
      </c>
      <c r="AH32" s="4">
        <f t="shared" si="47"/>
        <v>-223.5679999999702</v>
      </c>
      <c r="AI32" s="4">
        <f t="shared" si="47"/>
        <v>27908.665000000037</v>
      </c>
      <c r="AJ32" s="4">
        <f t="shared" si="47"/>
        <v>18278.586000000127</v>
      </c>
      <c r="AK32" s="4">
        <f t="shared" si="47"/>
        <v>46441.754999999888</v>
      </c>
      <c r="AL32" s="4">
        <f t="shared" si="47"/>
        <v>47299.080999999773</v>
      </c>
      <c r="AM32" s="4">
        <f t="shared" si="47"/>
        <v>114911.25399999972</v>
      </c>
      <c r="AN32" s="55">
        <v>234484.140000001</v>
      </c>
      <c r="AO32" s="4">
        <f t="shared" ref="AO32:AY32" si="48">AO33-AO34</f>
        <v>-62808.075000000012</v>
      </c>
      <c r="AP32" s="4">
        <f t="shared" si="48"/>
        <v>-130183.51300000004</v>
      </c>
      <c r="AQ32" s="4">
        <f t="shared" si="48"/>
        <v>-154114.179</v>
      </c>
      <c r="AR32" s="4">
        <f t="shared" si="48"/>
        <v>-147503.30100000009</v>
      </c>
      <c r="AS32" s="4">
        <f t="shared" si="48"/>
        <v>-113180.11399999983</v>
      </c>
      <c r="AT32" s="4">
        <f t="shared" si="48"/>
        <v>-85892.075000000186</v>
      </c>
      <c r="AU32" s="4">
        <f t="shared" si="48"/>
        <v>-24790.077000000048</v>
      </c>
      <c r="AV32" s="4">
        <f t="shared" si="48"/>
        <v>1407.3530000001192</v>
      </c>
      <c r="AW32" s="4">
        <f t="shared" si="48"/>
        <v>30609.788000000175</v>
      </c>
      <c r="AX32" s="4">
        <f t="shared" si="48"/>
        <v>63006.825000000186</v>
      </c>
      <c r="AY32" s="4">
        <f t="shared" si="48"/>
        <v>38267.962000000291</v>
      </c>
      <c r="AZ32" s="4">
        <f t="shared" ref="AZ32:CN32" si="49">AZ33-AZ34</f>
        <v>200524.48600000003</v>
      </c>
      <c r="BA32" s="55">
        <f t="shared" si="49"/>
        <v>-21564.299000000115</v>
      </c>
      <c r="BB32" s="4">
        <f t="shared" si="49"/>
        <v>108554.179</v>
      </c>
      <c r="BC32" s="4">
        <f t="shared" si="49"/>
        <v>98735.641000000061</v>
      </c>
      <c r="BD32" s="4">
        <f t="shared" si="49"/>
        <v>78145.562999999966</v>
      </c>
      <c r="BE32" s="4">
        <f t="shared" si="49"/>
        <v>87696.664000000106</v>
      </c>
      <c r="BF32" s="4">
        <f t="shared" si="49"/>
        <v>41467.940999999875</v>
      </c>
      <c r="BG32" s="4">
        <f t="shared" si="49"/>
        <v>205002.22399999993</v>
      </c>
      <c r="BH32" s="4">
        <f>BH33-BH34</f>
        <v>326863.35100000026</v>
      </c>
      <c r="BI32" s="4">
        <f>BI33-BI34</f>
        <v>350378.41999999993</v>
      </c>
      <c r="BJ32" s="4">
        <f t="shared" si="49"/>
        <v>320128.89399999985</v>
      </c>
      <c r="BK32" s="4">
        <f t="shared" si="49"/>
        <v>371998.29799999995</v>
      </c>
      <c r="BL32" s="4">
        <f t="shared" si="49"/>
        <v>349474.929</v>
      </c>
      <c r="BM32" s="4">
        <f t="shared" si="49"/>
        <v>343526.23900000006</v>
      </c>
      <c r="BN32" s="55">
        <f t="shared" si="49"/>
        <v>52141.845000000205</v>
      </c>
      <c r="BO32" s="4">
        <f t="shared" si="49"/>
        <v>21850.373000000021</v>
      </c>
      <c r="BP32" s="117">
        <f t="shared" si="49"/>
        <v>8860.8950000000186</v>
      </c>
      <c r="BQ32" s="4">
        <f t="shared" si="49"/>
        <v>-67878.96100000001</v>
      </c>
      <c r="BR32" s="4">
        <f t="shared" si="49"/>
        <v>-59148.922999999952</v>
      </c>
      <c r="BS32" s="4">
        <f t="shared" si="49"/>
        <v>-18273.459999999963</v>
      </c>
      <c r="BT32" s="4">
        <f t="shared" si="49"/>
        <v>18868.96800000011</v>
      </c>
      <c r="BU32" s="4">
        <f t="shared" si="49"/>
        <v>100483.56599999964</v>
      </c>
      <c r="BV32" s="4">
        <f t="shared" si="49"/>
        <v>112828.99300000025</v>
      </c>
      <c r="BW32" s="4">
        <f t="shared" si="49"/>
        <v>184000.50499999989</v>
      </c>
      <c r="BX32" s="4">
        <f t="shared" si="49"/>
        <v>205121.19900000002</v>
      </c>
      <c r="BY32" s="117">
        <f t="shared" si="49"/>
        <v>216425.06699999981</v>
      </c>
      <c r="BZ32" s="4">
        <f t="shared" si="49"/>
        <v>251412.78200000059</v>
      </c>
      <c r="CA32" s="135">
        <v>113700.62300000014</v>
      </c>
      <c r="CB32" s="131">
        <f t="shared" si="49"/>
        <v>34837.439000000013</v>
      </c>
      <c r="CC32" s="4">
        <f t="shared" si="49"/>
        <v>55473.418000000063</v>
      </c>
      <c r="CD32" s="4">
        <f t="shared" si="49"/>
        <v>83250.759000000078</v>
      </c>
      <c r="CE32" s="4">
        <f t="shared" si="49"/>
        <v>139544.30599999987</v>
      </c>
      <c r="CF32" s="4">
        <f t="shared" si="49"/>
        <v>171040.53099999996</v>
      </c>
      <c r="CG32" s="4">
        <f t="shared" si="49"/>
        <v>207935.19800000032</v>
      </c>
      <c r="CH32" s="4">
        <f t="shared" si="49"/>
        <v>250065.54900000012</v>
      </c>
      <c r="CI32" s="4">
        <f t="shared" si="49"/>
        <v>300845.93399999989</v>
      </c>
      <c r="CJ32" s="4">
        <f t="shared" si="49"/>
        <v>313731.5</v>
      </c>
      <c r="CK32" s="4">
        <f t="shared" si="49"/>
        <v>331664.57599999988</v>
      </c>
      <c r="CL32" s="4">
        <f t="shared" si="49"/>
        <v>340898.75600000005</v>
      </c>
      <c r="CM32" s="4">
        <f t="shared" si="49"/>
        <v>337134.9589999998</v>
      </c>
      <c r="CN32" s="188">
        <f t="shared" si="49"/>
        <v>408180.55800000019</v>
      </c>
      <c r="CO32" s="212">
        <f t="shared" ref="CO32:DI32" si="50">CO33-CO34</f>
        <v>82756.072209999897</v>
      </c>
      <c r="CP32" s="54">
        <f t="shared" si="50"/>
        <v>81244.570410000044</v>
      </c>
      <c r="CQ32" s="54">
        <f t="shared" si="50"/>
        <v>98564.328629999887</v>
      </c>
      <c r="CR32" s="54">
        <f t="shared" si="50"/>
        <v>65220.430290000048</v>
      </c>
      <c r="CS32" s="54">
        <f t="shared" si="50"/>
        <v>170363.10777000012</v>
      </c>
      <c r="CT32" s="54">
        <f t="shared" si="50"/>
        <v>223601.37920999946</v>
      </c>
      <c r="CU32" s="54">
        <f t="shared" si="50"/>
        <v>299206.14576000022</v>
      </c>
      <c r="CV32" s="54">
        <f t="shared" si="50"/>
        <v>378248.12340999953</v>
      </c>
      <c r="CW32" s="54">
        <f t="shared" si="50"/>
        <v>394742.26399999997</v>
      </c>
      <c r="CX32" s="54">
        <f t="shared" si="50"/>
        <v>445386.48235999933</v>
      </c>
      <c r="CY32" s="54">
        <f t="shared" si="50"/>
        <v>473630.13898999989</v>
      </c>
      <c r="CZ32" s="54">
        <f t="shared" si="50"/>
        <v>475222.88457000069</v>
      </c>
      <c r="DA32" s="197">
        <f t="shared" si="50"/>
        <v>466470.83999999985</v>
      </c>
      <c r="DB32" s="4">
        <f t="shared" si="50"/>
        <v>146223.47600000002</v>
      </c>
      <c r="DC32" s="4">
        <f t="shared" si="50"/>
        <v>148675.25084000011</v>
      </c>
      <c r="DD32" s="4">
        <f t="shared" si="50"/>
        <v>146268.74528999976</v>
      </c>
      <c r="DE32" s="4">
        <f t="shared" si="50"/>
        <v>137317.31988999993</v>
      </c>
      <c r="DF32" s="4">
        <f t="shared" si="50"/>
        <v>242787.93826999981</v>
      </c>
      <c r="DG32" s="4">
        <f t="shared" si="50"/>
        <v>279513.0060200002</v>
      </c>
      <c r="DH32" s="4">
        <f t="shared" si="50"/>
        <v>360515.06083999993</v>
      </c>
      <c r="DI32" s="197">
        <f t="shared" si="50"/>
        <v>448397.87800000049</v>
      </c>
      <c r="DJ32" s="81"/>
    </row>
    <row r="33" spans="1:115" ht="15" customHeight="1">
      <c r="A33" s="9" t="s">
        <v>2</v>
      </c>
      <c r="B33" s="7">
        <v>200983.12943999999</v>
      </c>
      <c r="C33" s="7">
        <v>404746.02648999996</v>
      </c>
      <c r="D33" s="7">
        <v>603065.3825699999</v>
      </c>
      <c r="E33" s="7">
        <v>842483.36490999989</v>
      </c>
      <c r="F33" s="7">
        <v>1071641.8650999998</v>
      </c>
      <c r="G33" s="7">
        <v>1306670.2670999998</v>
      </c>
      <c r="H33" s="7">
        <v>1569046.6270000001</v>
      </c>
      <c r="I33" s="7">
        <v>1806442.2896299998</v>
      </c>
      <c r="J33" s="7">
        <v>2026474.3182299999</v>
      </c>
      <c r="K33" s="7">
        <v>2277311.29</v>
      </c>
      <c r="L33" s="7">
        <v>2514504.6058</v>
      </c>
      <c r="M33" s="7">
        <v>2782324.3859999999</v>
      </c>
      <c r="N33" s="53">
        <v>2777100</v>
      </c>
      <c r="O33" s="21">
        <v>235581.60579999999</v>
      </c>
      <c r="P33" s="7">
        <v>466833.27</v>
      </c>
      <c r="Q33" s="7">
        <v>692040.12600000005</v>
      </c>
      <c r="R33" s="57">
        <v>950872.53</v>
      </c>
      <c r="S33" s="57">
        <v>1207076.2879999999</v>
      </c>
      <c r="T33" s="57">
        <v>1454266</v>
      </c>
      <c r="U33" s="57">
        <v>1737782.2180000001</v>
      </c>
      <c r="V33" s="57">
        <v>1997480.6340000001</v>
      </c>
      <c r="W33" s="57">
        <v>2240104.6529999999</v>
      </c>
      <c r="X33" s="57">
        <v>2509654.9040000001</v>
      </c>
      <c r="Y33" s="57">
        <v>2764217.08</v>
      </c>
      <c r="Z33" s="57">
        <v>3050316.0129999998</v>
      </c>
      <c r="AA33" s="53">
        <v>2989500</v>
      </c>
      <c r="AB33" s="57">
        <v>258275.56099999999</v>
      </c>
      <c r="AC33" s="57">
        <v>506650.38299999997</v>
      </c>
      <c r="AD33" s="57">
        <v>739705.90700000001</v>
      </c>
      <c r="AE33" s="57">
        <v>990250.40399999998</v>
      </c>
      <c r="AF33" s="57">
        <v>1211670.1240000001</v>
      </c>
      <c r="AG33" s="57">
        <v>1442118</v>
      </c>
      <c r="AH33" s="57">
        <v>1718894.0630000001</v>
      </c>
      <c r="AI33" s="57">
        <v>1979026.3489999999</v>
      </c>
      <c r="AJ33" s="57">
        <v>2236252.0819999999</v>
      </c>
      <c r="AK33" s="57">
        <v>2499070.5559999999</v>
      </c>
      <c r="AL33" s="57">
        <v>2757498.247</v>
      </c>
      <c r="AM33" s="57">
        <v>3107556.7039999999</v>
      </c>
      <c r="AN33" s="53">
        <v>3211460</v>
      </c>
      <c r="AO33" s="57">
        <v>182213.52799999999</v>
      </c>
      <c r="AP33" s="57">
        <v>378952.89199999999</v>
      </c>
      <c r="AQ33" s="57">
        <v>659214.821</v>
      </c>
      <c r="AR33" s="57">
        <v>932131.54200000002</v>
      </c>
      <c r="AS33" s="57">
        <v>1209685.8470000001</v>
      </c>
      <c r="AT33" s="57">
        <v>1514679.3459999999</v>
      </c>
      <c r="AU33" s="57">
        <v>1816819.4180000001</v>
      </c>
      <c r="AV33" s="57">
        <v>2116551.409</v>
      </c>
      <c r="AW33" s="57">
        <v>2408644.5410000002</v>
      </c>
      <c r="AX33" s="57">
        <v>2690989.3990000002</v>
      </c>
      <c r="AY33" s="57">
        <v>2951168.16</v>
      </c>
      <c r="AZ33" s="57">
        <v>3410111.6669999999</v>
      </c>
      <c r="BA33" s="53">
        <v>3151020.09</v>
      </c>
      <c r="BB33" s="57">
        <v>373920.799</v>
      </c>
      <c r="BC33" s="83">
        <v>665224.39500000002</v>
      </c>
      <c r="BD33" s="83">
        <v>956083.42200000002</v>
      </c>
      <c r="BE33" s="83">
        <v>1258543.2180000001</v>
      </c>
      <c r="BF33" s="83">
        <v>1488320.5379999999</v>
      </c>
      <c r="BG33" s="83">
        <v>1924273.629</v>
      </c>
      <c r="BH33" s="83">
        <v>2294967.8990000002</v>
      </c>
      <c r="BI33" s="83">
        <v>2619349.9780000001</v>
      </c>
      <c r="BJ33" s="83">
        <v>2957302.514</v>
      </c>
      <c r="BK33" s="83">
        <v>3307223.3360000001</v>
      </c>
      <c r="BL33" s="83">
        <v>3632193.66</v>
      </c>
      <c r="BM33" s="83">
        <v>3933156.719</v>
      </c>
      <c r="BN33" s="53">
        <v>3437530.5860000001</v>
      </c>
      <c r="BO33" s="86">
        <v>386755.58600000001</v>
      </c>
      <c r="BP33" s="86">
        <v>712519.40800000005</v>
      </c>
      <c r="BQ33" s="86">
        <v>981867.31200000003</v>
      </c>
      <c r="BR33" s="86">
        <v>1340413.6980000001</v>
      </c>
      <c r="BS33" s="86">
        <v>1692331.0009999999</v>
      </c>
      <c r="BT33" s="86">
        <v>2057613.0930000001</v>
      </c>
      <c r="BU33" s="86">
        <v>2433164.1549999998</v>
      </c>
      <c r="BV33" s="86">
        <v>2799980.6660000002</v>
      </c>
      <c r="BW33" s="86">
        <v>3170030.4569999999</v>
      </c>
      <c r="BX33" s="86">
        <v>3522629.9139999999</v>
      </c>
      <c r="BY33" s="86">
        <v>3883727.048</v>
      </c>
      <c r="BZ33" s="7">
        <v>4239679.1900000004</v>
      </c>
      <c r="CA33" s="134">
        <v>4197016.0610000007</v>
      </c>
      <c r="CB33" s="121">
        <v>418920.08</v>
      </c>
      <c r="CC33" s="121">
        <v>794439.72900000005</v>
      </c>
      <c r="CD33" s="121">
        <v>1149343.7660000001</v>
      </c>
      <c r="CE33" s="121">
        <v>1567563.6459999999</v>
      </c>
      <c r="CF33" s="121">
        <v>1948385.348</v>
      </c>
      <c r="CG33" s="121">
        <v>2331356.7080000001</v>
      </c>
      <c r="CH33" s="121">
        <v>2725972.199</v>
      </c>
      <c r="CI33" s="121">
        <v>3127367.0460000001</v>
      </c>
      <c r="CJ33" s="121">
        <v>3496960.4279999998</v>
      </c>
      <c r="CK33" s="121">
        <v>3891028.2459999998</v>
      </c>
      <c r="CL33" s="121">
        <v>4274321.9840000002</v>
      </c>
      <c r="CM33" s="121">
        <v>4649024.5209999997</v>
      </c>
      <c r="CN33" s="186">
        <v>4760715.4029999999</v>
      </c>
      <c r="CO33" s="173">
        <v>467815.38360999996</v>
      </c>
      <c r="CP33" s="121">
        <v>848620.30449999997</v>
      </c>
      <c r="CQ33" s="121">
        <v>1247935.3806099999</v>
      </c>
      <c r="CR33" s="121">
        <v>1659809.6772299998</v>
      </c>
      <c r="CS33" s="121">
        <v>2083481.9745700001</v>
      </c>
      <c r="CT33" s="121">
        <v>2511303.4794699997</v>
      </c>
      <c r="CU33" s="121">
        <v>2970667.8443</v>
      </c>
      <c r="CV33" s="121">
        <v>3427773.5890199998</v>
      </c>
      <c r="CW33" s="121">
        <v>3840853.1368499999</v>
      </c>
      <c r="CX33" s="121">
        <v>4296503.6891899994</v>
      </c>
      <c r="CY33" s="121">
        <v>4726018.9850099999</v>
      </c>
      <c r="CZ33" s="121">
        <v>5189354.2416400006</v>
      </c>
      <c r="DA33" s="195">
        <v>5208997.2280000001</v>
      </c>
      <c r="DB33" s="121">
        <v>509610.05454000004</v>
      </c>
      <c r="DC33" s="121">
        <v>927328.64326000004</v>
      </c>
      <c r="DD33" s="121">
        <v>1354319.0030399999</v>
      </c>
      <c r="DE33" s="121">
        <v>1817284.7787599999</v>
      </c>
      <c r="DF33" s="121">
        <v>2281709.76021</v>
      </c>
      <c r="DG33" s="121">
        <v>2739562.8486799998</v>
      </c>
      <c r="DH33" s="121">
        <v>3239101.38075</v>
      </c>
      <c r="DI33" s="195">
        <v>5521482.9730000002</v>
      </c>
    </row>
    <row r="34" spans="1:115" ht="15" customHeight="1">
      <c r="A34" s="9" t="s">
        <v>7</v>
      </c>
      <c r="B34" s="7">
        <v>216693.0208</v>
      </c>
      <c r="C34" s="7">
        <v>423601.6556</v>
      </c>
      <c r="D34" s="7">
        <v>637030.24326000002</v>
      </c>
      <c r="E34" s="7">
        <v>860577.70570000005</v>
      </c>
      <c r="F34" s="7">
        <v>1054831.2847899999</v>
      </c>
      <c r="G34" s="7">
        <v>1251994.9407899999</v>
      </c>
      <c r="H34" s="7">
        <v>1471851.074</v>
      </c>
      <c r="I34" s="7">
        <v>1682347.21331</v>
      </c>
      <c r="J34" s="7">
        <v>1877652.50511</v>
      </c>
      <c r="K34" s="7">
        <v>2114708.1287500001</v>
      </c>
      <c r="L34" s="7">
        <v>2336226.7728900001</v>
      </c>
      <c r="M34" s="7">
        <v>2580092.656</v>
      </c>
      <c r="N34" s="53">
        <v>2651200</v>
      </c>
      <c r="O34" s="21">
        <v>205518.755</v>
      </c>
      <c r="P34" s="7">
        <v>430397.73</v>
      </c>
      <c r="Q34" s="7">
        <v>643464.16099999996</v>
      </c>
      <c r="R34" s="57">
        <v>900350.33499999996</v>
      </c>
      <c r="S34" s="57">
        <v>1108297.31</v>
      </c>
      <c r="T34" s="57">
        <v>1316230</v>
      </c>
      <c r="U34" s="57">
        <v>1555366.34</v>
      </c>
      <c r="V34" s="57">
        <v>1763022.527</v>
      </c>
      <c r="W34" s="57">
        <v>1992711.5319999999</v>
      </c>
      <c r="X34" s="57">
        <v>2249207.287</v>
      </c>
      <c r="Y34" s="57">
        <v>2474570.3280000002</v>
      </c>
      <c r="Z34" s="57">
        <v>2750765.3319999999</v>
      </c>
      <c r="AA34" s="53">
        <v>2765700</v>
      </c>
      <c r="AB34" s="57">
        <v>235781.44500000001</v>
      </c>
      <c r="AC34" s="57">
        <v>464983.68199999997</v>
      </c>
      <c r="AD34" s="57">
        <v>733409.71400000004</v>
      </c>
      <c r="AE34" s="57">
        <v>1001316.519</v>
      </c>
      <c r="AF34" s="57">
        <v>1218541.96</v>
      </c>
      <c r="AG34" s="57">
        <v>1486720</v>
      </c>
      <c r="AH34" s="57">
        <v>1719117.6310000001</v>
      </c>
      <c r="AI34" s="57">
        <v>1951117.6839999999</v>
      </c>
      <c r="AJ34" s="57">
        <v>2217973.4959999998</v>
      </c>
      <c r="AK34" s="57">
        <v>2452628.801</v>
      </c>
      <c r="AL34" s="57">
        <v>2710199.1660000002</v>
      </c>
      <c r="AM34" s="57">
        <v>2992645.45</v>
      </c>
      <c r="AN34" s="53">
        <v>2976975.86</v>
      </c>
      <c r="AO34" s="57">
        <v>245021.603</v>
      </c>
      <c r="AP34" s="57">
        <v>509136.40500000003</v>
      </c>
      <c r="AQ34" s="57">
        <v>813329</v>
      </c>
      <c r="AR34" s="57">
        <v>1079634.8430000001</v>
      </c>
      <c r="AS34" s="57">
        <v>1322865.9609999999</v>
      </c>
      <c r="AT34" s="57">
        <v>1600571.4210000001</v>
      </c>
      <c r="AU34" s="57">
        <v>1841609.4950000001</v>
      </c>
      <c r="AV34" s="57">
        <v>2115144.0559999999</v>
      </c>
      <c r="AW34" s="57">
        <v>2378034.753</v>
      </c>
      <c r="AX34" s="57">
        <v>2627982.574</v>
      </c>
      <c r="AY34" s="57">
        <v>2912900.1979999999</v>
      </c>
      <c r="AZ34" s="57">
        <v>3209587.1809999999</v>
      </c>
      <c r="BA34" s="53">
        <v>3172584.389</v>
      </c>
      <c r="BB34" s="57">
        <v>265366.62</v>
      </c>
      <c r="BC34" s="83">
        <v>566488.75399999996</v>
      </c>
      <c r="BD34" s="83">
        <v>877937.85900000005</v>
      </c>
      <c r="BE34" s="83">
        <v>1170846.554</v>
      </c>
      <c r="BF34" s="83">
        <v>1446852.5970000001</v>
      </c>
      <c r="BG34" s="83">
        <v>1719271.405</v>
      </c>
      <c r="BH34" s="83">
        <v>1968104.548</v>
      </c>
      <c r="BI34" s="83">
        <v>2268971.5580000002</v>
      </c>
      <c r="BJ34" s="83">
        <v>2637173.62</v>
      </c>
      <c r="BK34" s="83">
        <v>2935225.0380000002</v>
      </c>
      <c r="BL34" s="83">
        <v>3282718.7310000001</v>
      </c>
      <c r="BM34" s="83">
        <v>3589630.48</v>
      </c>
      <c r="BN34" s="53">
        <v>3385388.7409999999</v>
      </c>
      <c r="BO34" s="86">
        <v>364905.21299999999</v>
      </c>
      <c r="BP34" s="86">
        <v>703658.51300000004</v>
      </c>
      <c r="BQ34" s="86">
        <v>1049746.273</v>
      </c>
      <c r="BR34" s="86">
        <v>1399562.621</v>
      </c>
      <c r="BS34" s="86">
        <v>1710604.4609999999</v>
      </c>
      <c r="BT34" s="86">
        <v>2038744.125</v>
      </c>
      <c r="BU34" s="86">
        <v>2332680.5890000002</v>
      </c>
      <c r="BV34" s="86">
        <v>2687151.673</v>
      </c>
      <c r="BW34" s="86">
        <v>2986029.952</v>
      </c>
      <c r="BX34" s="86">
        <v>3317508.7149999999</v>
      </c>
      <c r="BY34" s="86">
        <v>3667301.9810000001</v>
      </c>
      <c r="BZ34" s="7">
        <v>3988266.4079999998</v>
      </c>
      <c r="CA34" s="134">
        <v>4083315.4380000005</v>
      </c>
      <c r="CB34" s="121">
        <v>384082.641</v>
      </c>
      <c r="CC34" s="121">
        <v>738966.31099999999</v>
      </c>
      <c r="CD34" s="121">
        <v>1066093.007</v>
      </c>
      <c r="CE34" s="121">
        <v>1428019.34</v>
      </c>
      <c r="CF34" s="121">
        <v>1777344.817</v>
      </c>
      <c r="CG34" s="121">
        <v>2123421.5099999998</v>
      </c>
      <c r="CH34" s="121">
        <v>2475906.65</v>
      </c>
      <c r="CI34" s="121">
        <v>2826521.1120000002</v>
      </c>
      <c r="CJ34" s="121">
        <v>3183228.9279999998</v>
      </c>
      <c r="CK34" s="121">
        <v>3559363.67</v>
      </c>
      <c r="CL34" s="121">
        <v>3933423.2280000001</v>
      </c>
      <c r="CM34" s="121">
        <v>4311889.5619999999</v>
      </c>
      <c r="CN34" s="186">
        <v>4352534.8449999997</v>
      </c>
      <c r="CO34" s="173">
        <v>385059.31140000006</v>
      </c>
      <c r="CP34" s="121">
        <v>767375.73408999993</v>
      </c>
      <c r="CQ34" s="121">
        <v>1149371.05198</v>
      </c>
      <c r="CR34" s="121">
        <v>1594589.2469399997</v>
      </c>
      <c r="CS34" s="121">
        <v>1913118.8668</v>
      </c>
      <c r="CT34" s="121">
        <v>2287702.1002600002</v>
      </c>
      <c r="CU34" s="121">
        <v>2671461.6985399998</v>
      </c>
      <c r="CV34" s="121">
        <v>3049525.4656100003</v>
      </c>
      <c r="CW34" s="121">
        <v>3446110.8728499999</v>
      </c>
      <c r="CX34" s="121">
        <v>3851117.20683</v>
      </c>
      <c r="CY34" s="121">
        <v>4252388.8460200001</v>
      </c>
      <c r="CZ34" s="121">
        <v>4714131.3570699999</v>
      </c>
      <c r="DA34" s="195">
        <v>4742526.3880000003</v>
      </c>
      <c r="DB34" s="121">
        <v>363386.57854000002</v>
      </c>
      <c r="DC34" s="121">
        <v>778653.39241999993</v>
      </c>
      <c r="DD34" s="121">
        <v>1208050.2577500001</v>
      </c>
      <c r="DE34" s="121">
        <v>1679967.45887</v>
      </c>
      <c r="DF34" s="121">
        <v>2038921.8219400002</v>
      </c>
      <c r="DG34" s="121">
        <v>2460049.8426599996</v>
      </c>
      <c r="DH34" s="121">
        <v>2878586.3199100001</v>
      </c>
      <c r="DI34" s="195">
        <v>5073085.0949999997</v>
      </c>
    </row>
    <row r="35" spans="1:115" ht="15" customHeight="1">
      <c r="A35" s="4" t="s">
        <v>18</v>
      </c>
      <c r="B35" s="4">
        <v>11773.732</v>
      </c>
      <c r="C35" s="4">
        <v>16067.337000000003</v>
      </c>
      <c r="D35" s="4">
        <v>17387.086000000003</v>
      </c>
      <c r="E35" s="4">
        <v>24478.553000000004</v>
      </c>
      <c r="F35" s="4">
        <v>23198.187000000005</v>
      </c>
      <c r="G35" s="4">
        <v>25971.203000000009</v>
      </c>
      <c r="H35" s="4">
        <v>31671.375</v>
      </c>
      <c r="I35" s="4">
        <v>42961.191000000006</v>
      </c>
      <c r="J35" s="4">
        <v>48800.425000000003</v>
      </c>
      <c r="K35" s="4">
        <v>50275.813999999998</v>
      </c>
      <c r="L35" s="4">
        <v>49652.248999999996</v>
      </c>
      <c r="M35" s="4">
        <f>M36-M37</f>
        <v>35199.548999999999</v>
      </c>
      <c r="N35" s="55">
        <v>600</v>
      </c>
      <c r="O35" s="15">
        <f t="shared" ref="O35:AH35" si="51">O36-O37</f>
        <v>20125.769000000004</v>
      </c>
      <c r="P35" s="4">
        <f t="shared" si="51"/>
        <v>26706.359999999993</v>
      </c>
      <c r="Q35" s="4">
        <f t="shared" si="51"/>
        <v>18106</v>
      </c>
      <c r="R35" s="4">
        <f t="shared" si="51"/>
        <v>37082.602999999974</v>
      </c>
      <c r="S35" s="4">
        <f t="shared" si="51"/>
        <v>25890.687000000005</v>
      </c>
      <c r="T35" s="4">
        <f t="shared" si="51"/>
        <v>14210</v>
      </c>
      <c r="U35" s="4">
        <f t="shared" si="51"/>
        <v>29532.22</v>
      </c>
      <c r="V35" s="4">
        <f t="shared" si="51"/>
        <v>36858.728000000003</v>
      </c>
      <c r="W35" s="4">
        <f t="shared" si="51"/>
        <v>33456.946999999986</v>
      </c>
      <c r="X35" s="4">
        <f t="shared" si="51"/>
        <v>55495.402999999991</v>
      </c>
      <c r="Y35" s="4">
        <f t="shared" si="51"/>
        <v>38072.986000000034</v>
      </c>
      <c r="Z35" s="4">
        <f t="shared" si="51"/>
        <v>17951.097999999998</v>
      </c>
      <c r="AA35" s="55">
        <v>4200</v>
      </c>
      <c r="AB35" s="4">
        <f t="shared" si="51"/>
        <v>7480.8660000000018</v>
      </c>
      <c r="AC35" s="4">
        <f t="shared" si="51"/>
        <v>30945.457999999999</v>
      </c>
      <c r="AD35" s="74">
        <v>23077.899000000005</v>
      </c>
      <c r="AE35" s="4">
        <f t="shared" si="51"/>
        <v>45237.391999999993</v>
      </c>
      <c r="AF35" s="4">
        <f t="shared" si="51"/>
        <v>32492.027000000002</v>
      </c>
      <c r="AG35" s="4">
        <f t="shared" si="51"/>
        <v>20893</v>
      </c>
      <c r="AH35" s="4">
        <f t="shared" si="51"/>
        <v>26919.184999999998</v>
      </c>
      <c r="AI35" s="4">
        <f t="shared" ref="AI35:BA35" si="52">AI36-AI37</f>
        <v>39064.102999999945</v>
      </c>
      <c r="AJ35" s="4">
        <f t="shared" si="52"/>
        <v>37108.40399999998</v>
      </c>
      <c r="AK35" s="4">
        <f t="shared" si="52"/>
        <v>57372.97900000005</v>
      </c>
      <c r="AL35" s="4">
        <f t="shared" si="52"/>
        <v>42852.862000000023</v>
      </c>
      <c r="AM35" s="4">
        <f t="shared" si="52"/>
        <v>17274.233000000007</v>
      </c>
      <c r="AN35" s="55">
        <v>1720.58399999997</v>
      </c>
      <c r="AO35" s="4">
        <f t="shared" si="52"/>
        <v>35758.362999999998</v>
      </c>
      <c r="AP35" s="4">
        <f t="shared" si="52"/>
        <v>36373.306000000004</v>
      </c>
      <c r="AQ35" s="4">
        <f t="shared" si="52"/>
        <v>45071.747000000032</v>
      </c>
      <c r="AR35" s="4">
        <f t="shared" si="52"/>
        <v>60648.703000000009</v>
      </c>
      <c r="AS35" s="4">
        <f t="shared" si="52"/>
        <v>45510.429000000033</v>
      </c>
      <c r="AT35" s="4">
        <f t="shared" si="52"/>
        <v>28266.337000000029</v>
      </c>
      <c r="AU35" s="4">
        <f t="shared" si="52"/>
        <v>43240.699000000022</v>
      </c>
      <c r="AV35" s="4">
        <f t="shared" si="52"/>
        <v>47176.137999999977</v>
      </c>
      <c r="AW35" s="4">
        <f t="shared" si="52"/>
        <v>39069.009999999951</v>
      </c>
      <c r="AX35" s="4">
        <f t="shared" si="52"/>
        <v>57457.46100000001</v>
      </c>
      <c r="AY35" s="4">
        <f t="shared" si="52"/>
        <v>42898.005000000005</v>
      </c>
      <c r="AZ35" s="4">
        <f>AZ36-AZ37</f>
        <v>25941.059000000008</v>
      </c>
      <c r="BA35" s="55">
        <f t="shared" si="52"/>
        <v>-11681.627169999992</v>
      </c>
      <c r="BB35" s="4">
        <f t="shared" ref="BB35:CN35" si="53">BB36-BB37</f>
        <v>26013.054000000004</v>
      </c>
      <c r="BC35" s="4">
        <f t="shared" si="53"/>
        <v>51475.959999999992</v>
      </c>
      <c r="BD35" s="4">
        <f t="shared" si="53"/>
        <v>42520.129000000001</v>
      </c>
      <c r="BE35" s="4">
        <f t="shared" si="53"/>
        <v>72311.263999999996</v>
      </c>
      <c r="BF35" s="4">
        <f t="shared" si="53"/>
        <v>56367.350000000035</v>
      </c>
      <c r="BG35" s="4">
        <f t="shared" si="53"/>
        <v>36076.94</v>
      </c>
      <c r="BH35" s="4">
        <f>BH36-BH37</f>
        <v>48840.738000000012</v>
      </c>
      <c r="BI35" s="4">
        <f>BI36-BI37</f>
        <v>52873.907999999996</v>
      </c>
      <c r="BJ35" s="4">
        <f t="shared" si="53"/>
        <v>48991.963999999978</v>
      </c>
      <c r="BK35" s="4">
        <f t="shared" si="53"/>
        <v>75732.864999999991</v>
      </c>
      <c r="BL35" s="4">
        <f t="shared" si="53"/>
        <v>56931.328999999969</v>
      </c>
      <c r="BM35" s="4">
        <f t="shared" si="53"/>
        <v>33835.040999999968</v>
      </c>
      <c r="BN35" s="55">
        <f t="shared" si="53"/>
        <v>-26874.507000000041</v>
      </c>
      <c r="BO35" s="4">
        <f t="shared" si="53"/>
        <v>11329.876</v>
      </c>
      <c r="BP35" s="117">
        <f t="shared" si="53"/>
        <v>25222.025999999998</v>
      </c>
      <c r="BQ35" s="4">
        <f t="shared" si="53"/>
        <v>15031.947000000015</v>
      </c>
      <c r="BR35" s="4">
        <f t="shared" si="53"/>
        <v>37788.394</v>
      </c>
      <c r="BS35" s="4">
        <f t="shared" si="53"/>
        <v>24130.152000000002</v>
      </c>
      <c r="BT35" s="4">
        <f t="shared" si="53"/>
        <v>8531.0579999999609</v>
      </c>
      <c r="BU35" s="4">
        <f t="shared" si="53"/>
        <v>38231.170999999973</v>
      </c>
      <c r="BV35" s="4">
        <f t="shared" si="53"/>
        <v>48648.719999999972</v>
      </c>
      <c r="BW35" s="4">
        <f t="shared" si="53"/>
        <v>40664.613000000012</v>
      </c>
      <c r="BX35" s="4">
        <f t="shared" si="53"/>
        <v>66209.320999999996</v>
      </c>
      <c r="BY35" s="117">
        <f t="shared" si="53"/>
        <v>48836.099999999977</v>
      </c>
      <c r="BZ35" s="4">
        <f t="shared" si="53"/>
        <v>12992.520000000019</v>
      </c>
      <c r="CA35" s="135">
        <v>-5968.4269056605408</v>
      </c>
      <c r="CB35" s="131">
        <f t="shared" si="53"/>
        <v>19947.063999999998</v>
      </c>
      <c r="CC35" s="4">
        <f t="shared" si="53"/>
        <v>19469.566999999995</v>
      </c>
      <c r="CD35" s="4">
        <f t="shared" si="53"/>
        <v>16414.676999999996</v>
      </c>
      <c r="CE35" s="4">
        <f t="shared" si="53"/>
        <v>58800.811000000016</v>
      </c>
      <c r="CF35" s="4">
        <f t="shared" si="53"/>
        <v>49517.22099999999</v>
      </c>
      <c r="CG35" s="4">
        <f t="shared" ref="CG35:CM35" si="54">CG36-CG37</f>
        <v>43851.594999999972</v>
      </c>
      <c r="CH35" s="4">
        <f t="shared" si="54"/>
        <v>68781.166000000027</v>
      </c>
      <c r="CI35" s="4">
        <f t="shared" si="54"/>
        <v>67315.008000000031</v>
      </c>
      <c r="CJ35" s="4">
        <f t="shared" si="54"/>
        <v>61921.563000000024</v>
      </c>
      <c r="CK35" s="4">
        <f t="shared" si="54"/>
        <v>61069.431999999972</v>
      </c>
      <c r="CL35" s="4">
        <f t="shared" si="54"/>
        <v>65302.324999999953</v>
      </c>
      <c r="CM35" s="4">
        <f t="shared" si="54"/>
        <v>60639.342999999993</v>
      </c>
      <c r="CN35" s="188">
        <f t="shared" si="53"/>
        <v>3193.8680790516082</v>
      </c>
      <c r="CO35" s="212">
        <f t="shared" ref="CO35:DI35" si="55">CO36-CO37</f>
        <v>11432.634000000002</v>
      </c>
      <c r="CP35" s="54">
        <f t="shared" si="55"/>
        <v>19407.301999999996</v>
      </c>
      <c r="CQ35" s="54">
        <f t="shared" si="55"/>
        <v>13473.412000000011</v>
      </c>
      <c r="CR35" s="54">
        <f t="shared" si="55"/>
        <v>24128.539000000019</v>
      </c>
      <c r="CS35" s="54">
        <f t="shared" si="55"/>
        <v>46273.855999999971</v>
      </c>
      <c r="CT35" s="54">
        <f t="shared" si="55"/>
        <v>84977.433000000019</v>
      </c>
      <c r="CU35" s="54">
        <f t="shared" si="55"/>
        <v>105064.30600000004</v>
      </c>
      <c r="CV35" s="54">
        <f t="shared" si="55"/>
        <v>108906.62299999996</v>
      </c>
      <c r="CW35" s="54">
        <f t="shared" si="55"/>
        <v>110087.70099999994</v>
      </c>
      <c r="CX35" s="54">
        <f t="shared" si="55"/>
        <v>123411.03500000003</v>
      </c>
      <c r="CY35" s="54">
        <f t="shared" si="55"/>
        <v>98247.804000000004</v>
      </c>
      <c r="CZ35" s="54">
        <f t="shared" si="55"/>
        <v>53796.275000000023</v>
      </c>
      <c r="DA35" s="197">
        <f t="shared" si="55"/>
        <v>18835.369000000064</v>
      </c>
      <c r="DB35" s="4">
        <f t="shared" si="55"/>
        <v>31555.733999999997</v>
      </c>
      <c r="DC35" s="4">
        <f t="shared" si="55"/>
        <v>23090.656000000003</v>
      </c>
      <c r="DD35" s="4">
        <f t="shared" si="55"/>
        <v>18603.468999999983</v>
      </c>
      <c r="DE35" s="4">
        <f t="shared" si="55"/>
        <v>35127.725999999995</v>
      </c>
      <c r="DF35" s="4">
        <f t="shared" si="55"/>
        <v>41127.603000000003</v>
      </c>
      <c r="DG35" s="4">
        <f t="shared" si="55"/>
        <v>58105.051999999967</v>
      </c>
      <c r="DH35" s="4">
        <f t="shared" si="55"/>
        <v>60711.82699999999</v>
      </c>
      <c r="DI35" s="197">
        <f t="shared" si="55"/>
        <v>27036.995105472975</v>
      </c>
    </row>
    <row r="36" spans="1:115" ht="15" customHeight="1">
      <c r="A36" s="9" t="s">
        <v>2</v>
      </c>
      <c r="B36" s="7">
        <v>29627.258000000002</v>
      </c>
      <c r="C36" s="7">
        <v>63326.944000000003</v>
      </c>
      <c r="D36" s="7">
        <v>95583.993000000002</v>
      </c>
      <c r="E36" s="7">
        <v>135058.41899999999</v>
      </c>
      <c r="F36" s="7">
        <v>166213.321</v>
      </c>
      <c r="G36" s="7">
        <v>203376.86799999999</v>
      </c>
      <c r="H36" s="7">
        <v>244465.03</v>
      </c>
      <c r="I36" s="7">
        <v>285225.40499999997</v>
      </c>
      <c r="J36" s="7">
        <v>317572.02299999999</v>
      </c>
      <c r="K36" s="7">
        <v>356028.473</v>
      </c>
      <c r="L36" s="7">
        <v>389982.859</v>
      </c>
      <c r="M36" s="7">
        <v>433468.277</v>
      </c>
      <c r="N36" s="53">
        <v>363500</v>
      </c>
      <c r="O36" s="21">
        <v>41192.368000000002</v>
      </c>
      <c r="P36" s="7">
        <v>84794.286999999997</v>
      </c>
      <c r="Q36" s="7">
        <v>111668.07399999999</v>
      </c>
      <c r="R36" s="57">
        <v>171575.58</v>
      </c>
      <c r="S36" s="57">
        <v>195960.18400000001</v>
      </c>
      <c r="T36" s="57">
        <v>219266</v>
      </c>
      <c r="U36" s="57">
        <v>280065.13</v>
      </c>
      <c r="V36" s="57">
        <v>318076.84399999998</v>
      </c>
      <c r="W36" s="57">
        <v>349439.359</v>
      </c>
      <c r="X36" s="57">
        <v>410707.71299999999</v>
      </c>
      <c r="Y36" s="57">
        <v>431048.21500000003</v>
      </c>
      <c r="Z36" s="57">
        <v>466439.97700000001</v>
      </c>
      <c r="AA36" s="53">
        <v>430400</v>
      </c>
      <c r="AB36" s="57">
        <v>34050.796000000002</v>
      </c>
      <c r="AC36" s="57">
        <v>93850.987999999998</v>
      </c>
      <c r="AD36" s="57">
        <v>122151.095</v>
      </c>
      <c r="AE36" s="57">
        <v>180870.253</v>
      </c>
      <c r="AF36" s="57">
        <v>199634.658</v>
      </c>
      <c r="AG36" s="57">
        <v>224856</v>
      </c>
      <c r="AH36" s="57">
        <v>277848.86900000001</v>
      </c>
      <c r="AI36" s="57">
        <v>320541.80699999997</v>
      </c>
      <c r="AJ36" s="57">
        <v>353962.185</v>
      </c>
      <c r="AK36" s="57">
        <v>416047.23700000002</v>
      </c>
      <c r="AL36" s="57">
        <v>438530.48300000001</v>
      </c>
      <c r="AM36" s="57">
        <v>475228.85800000001</v>
      </c>
      <c r="AN36" s="53">
        <v>442133.60399999999</v>
      </c>
      <c r="AO36" s="57">
        <v>54511.644</v>
      </c>
      <c r="AP36" s="57">
        <v>89194.72600000001</v>
      </c>
      <c r="AQ36" s="57">
        <v>135818.63100000002</v>
      </c>
      <c r="AR36" s="57">
        <v>192813.96900000001</v>
      </c>
      <c r="AS36" s="57">
        <v>216833.45100000003</v>
      </c>
      <c r="AT36" s="57">
        <v>240910.32200000004</v>
      </c>
      <c r="AU36" s="57">
        <v>302240.49700000003</v>
      </c>
      <c r="AV36" s="57">
        <v>344021.11800000002</v>
      </c>
      <c r="AW36" s="57">
        <v>370795.63099999999</v>
      </c>
      <c r="AX36" s="57">
        <v>431399.51300000004</v>
      </c>
      <c r="AY36" s="57">
        <v>460250.79700000002</v>
      </c>
      <c r="AZ36" s="57">
        <v>510809.92500000005</v>
      </c>
      <c r="BA36" s="53">
        <v>485884.43599999999</v>
      </c>
      <c r="BB36" s="57">
        <v>50719.700000000004</v>
      </c>
      <c r="BC36" s="83">
        <v>113831.80799999999</v>
      </c>
      <c r="BD36" s="83">
        <v>154749.527</v>
      </c>
      <c r="BE36" s="83">
        <v>225838.302</v>
      </c>
      <c r="BF36" s="83">
        <v>252916.03900000002</v>
      </c>
      <c r="BG36" s="83">
        <v>275943.49300000002</v>
      </c>
      <c r="BH36" s="83">
        <v>336502.43599999999</v>
      </c>
      <c r="BI36" s="83">
        <v>379467.53700000001</v>
      </c>
      <c r="BJ36" s="83">
        <v>415903.47700000001</v>
      </c>
      <c r="BK36" s="83">
        <v>492216.07</v>
      </c>
      <c r="BL36" s="83">
        <v>520886.88699999999</v>
      </c>
      <c r="BM36" s="83">
        <v>572400.326</v>
      </c>
      <c r="BN36" s="53">
        <v>519295.99400000001</v>
      </c>
      <c r="BO36" s="86">
        <v>42654.006000000001</v>
      </c>
      <c r="BP36" s="86">
        <v>101253.356</v>
      </c>
      <c r="BQ36" s="86">
        <v>141387.34400000001</v>
      </c>
      <c r="BR36" s="86">
        <v>212822.59400000001</v>
      </c>
      <c r="BS36" s="86">
        <v>245979.568</v>
      </c>
      <c r="BT36" s="86">
        <v>282368.09899999999</v>
      </c>
      <c r="BU36" s="86">
        <v>362657.951</v>
      </c>
      <c r="BV36" s="86">
        <v>416735.10399999999</v>
      </c>
      <c r="BW36" s="86">
        <v>450814.212</v>
      </c>
      <c r="BX36" s="86">
        <v>527917.147</v>
      </c>
      <c r="BY36" s="121">
        <v>567580.91599999997</v>
      </c>
      <c r="BZ36" s="7">
        <v>613581.10499999998</v>
      </c>
      <c r="CA36" s="134">
        <v>583451.06099999987</v>
      </c>
      <c r="CB36" s="121">
        <v>54654.082999999999</v>
      </c>
      <c r="CC36" s="121">
        <v>106251.155</v>
      </c>
      <c r="CD36" s="121">
        <v>151506.78</v>
      </c>
      <c r="CE36" s="121">
        <v>242464.35800000001</v>
      </c>
      <c r="CF36" s="121">
        <v>279394.065</v>
      </c>
      <c r="CG36" s="121">
        <v>323323.946</v>
      </c>
      <c r="CH36" s="121">
        <v>403768.15500000003</v>
      </c>
      <c r="CI36" s="121">
        <v>445720.87400000001</v>
      </c>
      <c r="CJ36" s="121">
        <v>481072.83199999999</v>
      </c>
      <c r="CK36" s="121">
        <v>541499.86699999997</v>
      </c>
      <c r="CL36" s="121">
        <v>603027.13399999996</v>
      </c>
      <c r="CM36" s="121">
        <v>677462.42599999998</v>
      </c>
      <c r="CN36" s="186">
        <v>617098.16799999995</v>
      </c>
      <c r="CO36" s="173">
        <v>43670.038</v>
      </c>
      <c r="CP36" s="121">
        <v>99573.94</v>
      </c>
      <c r="CQ36" s="121">
        <v>146469.53400000001</v>
      </c>
      <c r="CR36" s="121">
        <v>217341.28400000001</v>
      </c>
      <c r="CS36" s="121">
        <v>287071.00699999998</v>
      </c>
      <c r="CT36" s="121">
        <v>382640.50900000002</v>
      </c>
      <c r="CU36" s="121">
        <v>462066.38400000002</v>
      </c>
      <c r="CV36" s="121">
        <v>518238.38699999999</v>
      </c>
      <c r="CW36" s="121">
        <v>572526.66099999996</v>
      </c>
      <c r="CX36" s="121">
        <v>648717.85800000001</v>
      </c>
      <c r="CY36" s="121">
        <v>682644.14399999997</v>
      </c>
      <c r="CZ36" s="121">
        <v>734879.755</v>
      </c>
      <c r="DA36" s="195">
        <v>677033.41399999999</v>
      </c>
      <c r="DB36" s="121">
        <v>65775.525999999998</v>
      </c>
      <c r="DC36" s="121">
        <v>116398.236</v>
      </c>
      <c r="DD36" s="121">
        <v>174244.38099999999</v>
      </c>
      <c r="DE36" s="121">
        <v>262313.73300000001</v>
      </c>
      <c r="DF36" s="121">
        <v>338953.71899999998</v>
      </c>
      <c r="DG36" s="121">
        <v>426241.56199999998</v>
      </c>
      <c r="DH36" s="121">
        <v>503948.64600000001</v>
      </c>
      <c r="DI36" s="195">
        <v>709145.83799999999</v>
      </c>
    </row>
    <row r="37" spans="1:115" ht="15" customHeight="1">
      <c r="A37" s="9" t="s">
        <v>7</v>
      </c>
      <c r="B37" s="7">
        <v>17853.526000000002</v>
      </c>
      <c r="C37" s="7">
        <v>47259.607000000004</v>
      </c>
      <c r="D37" s="7">
        <v>78196.907000000007</v>
      </c>
      <c r="E37" s="7">
        <v>110579.86600000001</v>
      </c>
      <c r="F37" s="7">
        <v>143015.13400000002</v>
      </c>
      <c r="G37" s="7">
        <v>177409.56800000003</v>
      </c>
      <c r="H37" s="7">
        <v>212793.655</v>
      </c>
      <c r="I37" s="7">
        <v>242268.11700000003</v>
      </c>
      <c r="J37" s="7">
        <v>268775.50100000005</v>
      </c>
      <c r="K37" s="7">
        <v>305756.56200000003</v>
      </c>
      <c r="L37" s="7">
        <v>340334.51300000004</v>
      </c>
      <c r="M37" s="7">
        <v>398268.728</v>
      </c>
      <c r="N37" s="53">
        <v>362900</v>
      </c>
      <c r="O37" s="21">
        <v>21066.598999999998</v>
      </c>
      <c r="P37" s="7">
        <v>58087.927000000003</v>
      </c>
      <c r="Q37" s="7">
        <v>93562.073999999993</v>
      </c>
      <c r="R37" s="57">
        <v>134492.97700000001</v>
      </c>
      <c r="S37" s="57">
        <v>170069.497</v>
      </c>
      <c r="T37" s="57">
        <v>205056</v>
      </c>
      <c r="U37" s="57">
        <v>250532.91</v>
      </c>
      <c r="V37" s="57">
        <v>281218.11599999998</v>
      </c>
      <c r="W37" s="57">
        <v>315982.41200000001</v>
      </c>
      <c r="X37" s="57">
        <v>355212.31</v>
      </c>
      <c r="Y37" s="57">
        <v>392975.22899999999</v>
      </c>
      <c r="Z37" s="57">
        <v>448488.87900000002</v>
      </c>
      <c r="AA37" s="53">
        <v>426300</v>
      </c>
      <c r="AB37" s="57">
        <v>26569.93</v>
      </c>
      <c r="AC37" s="57">
        <v>62905.53</v>
      </c>
      <c r="AD37" s="57">
        <v>99073.195999999996</v>
      </c>
      <c r="AE37" s="57">
        <v>135632.861</v>
      </c>
      <c r="AF37" s="57">
        <v>167142.63099999999</v>
      </c>
      <c r="AG37" s="57">
        <v>203963</v>
      </c>
      <c r="AH37" s="57">
        <v>250929.68400000001</v>
      </c>
      <c r="AI37" s="57">
        <v>281477.70400000003</v>
      </c>
      <c r="AJ37" s="57">
        <v>316853.78100000002</v>
      </c>
      <c r="AK37" s="57">
        <v>358674.25799999997</v>
      </c>
      <c r="AL37" s="57">
        <v>395677.62099999998</v>
      </c>
      <c r="AM37" s="57">
        <v>457954.625</v>
      </c>
      <c r="AN37" s="53">
        <v>440413.02</v>
      </c>
      <c r="AO37" s="57">
        <v>18753.281000000003</v>
      </c>
      <c r="AP37" s="57">
        <v>52821.420000000006</v>
      </c>
      <c r="AQ37" s="57">
        <v>90746.883999999991</v>
      </c>
      <c r="AR37" s="57">
        <v>132165.266</v>
      </c>
      <c r="AS37" s="57">
        <v>171323.022</v>
      </c>
      <c r="AT37" s="57">
        <v>212643.98500000002</v>
      </c>
      <c r="AU37" s="57">
        <v>258999.79800000001</v>
      </c>
      <c r="AV37" s="57">
        <v>296844.98000000004</v>
      </c>
      <c r="AW37" s="57">
        <v>331726.62100000004</v>
      </c>
      <c r="AX37" s="57">
        <v>373942.05200000003</v>
      </c>
      <c r="AY37" s="57">
        <v>417352.79200000002</v>
      </c>
      <c r="AZ37" s="57">
        <v>484868.86600000004</v>
      </c>
      <c r="BA37" s="53">
        <v>497566.06316999998</v>
      </c>
      <c r="BB37" s="57">
        <v>24706.646000000001</v>
      </c>
      <c r="BC37" s="83">
        <v>62355.847999999998</v>
      </c>
      <c r="BD37" s="83">
        <v>112229.398</v>
      </c>
      <c r="BE37" s="83">
        <v>153527.038</v>
      </c>
      <c r="BF37" s="83">
        <v>196548.68899999998</v>
      </c>
      <c r="BG37" s="83">
        <v>239866.55300000001</v>
      </c>
      <c r="BH37" s="83">
        <v>287661.69799999997</v>
      </c>
      <c r="BI37" s="83">
        <v>326593.62900000002</v>
      </c>
      <c r="BJ37" s="83">
        <v>366911.51300000004</v>
      </c>
      <c r="BK37" s="83">
        <v>416483.20500000002</v>
      </c>
      <c r="BL37" s="83">
        <v>463955.55800000002</v>
      </c>
      <c r="BM37" s="83">
        <v>538565.28500000003</v>
      </c>
      <c r="BN37" s="53">
        <v>546170.50100000005</v>
      </c>
      <c r="BO37" s="86">
        <v>31324.13</v>
      </c>
      <c r="BP37" s="86">
        <v>76031.33</v>
      </c>
      <c r="BQ37" s="86">
        <v>126355.397</v>
      </c>
      <c r="BR37" s="86">
        <v>175034.2</v>
      </c>
      <c r="BS37" s="86">
        <v>221849.416</v>
      </c>
      <c r="BT37" s="86">
        <v>273837.04100000003</v>
      </c>
      <c r="BU37" s="86">
        <v>324426.78000000003</v>
      </c>
      <c r="BV37" s="86">
        <v>368086.38400000002</v>
      </c>
      <c r="BW37" s="86">
        <v>410149.59899999999</v>
      </c>
      <c r="BX37" s="86">
        <v>461707.826</v>
      </c>
      <c r="BY37" s="121">
        <v>518744.81599999999</v>
      </c>
      <c r="BZ37" s="7">
        <v>600588.58499999996</v>
      </c>
      <c r="CA37" s="134">
        <v>589419.48790566041</v>
      </c>
      <c r="CB37" s="121">
        <v>34707.019</v>
      </c>
      <c r="CC37" s="121">
        <v>86781.588000000003</v>
      </c>
      <c r="CD37" s="121">
        <v>135092.103</v>
      </c>
      <c r="CE37" s="121">
        <v>183663.54699999999</v>
      </c>
      <c r="CF37" s="121">
        <v>229876.84400000001</v>
      </c>
      <c r="CG37" s="121">
        <v>279472.35100000002</v>
      </c>
      <c r="CH37" s="121">
        <v>334986.989</v>
      </c>
      <c r="CI37" s="121">
        <v>378405.86599999998</v>
      </c>
      <c r="CJ37" s="121">
        <v>419151.26899999997</v>
      </c>
      <c r="CK37" s="121">
        <v>480430.435</v>
      </c>
      <c r="CL37" s="121">
        <v>537724.80900000001</v>
      </c>
      <c r="CM37" s="121">
        <v>616823.08299999998</v>
      </c>
      <c r="CN37" s="186">
        <v>613904.29992094834</v>
      </c>
      <c r="CO37" s="173">
        <v>32237.403999999999</v>
      </c>
      <c r="CP37" s="121">
        <v>80166.638000000006</v>
      </c>
      <c r="CQ37" s="121">
        <v>132996.122</v>
      </c>
      <c r="CR37" s="121">
        <v>193212.745</v>
      </c>
      <c r="CS37" s="121">
        <v>240797.15100000001</v>
      </c>
      <c r="CT37" s="121">
        <v>297663.076</v>
      </c>
      <c r="CU37" s="121">
        <v>357002.07799999998</v>
      </c>
      <c r="CV37" s="121">
        <v>409331.76400000002</v>
      </c>
      <c r="CW37" s="121">
        <v>462438.96</v>
      </c>
      <c r="CX37" s="121">
        <v>525306.82299999997</v>
      </c>
      <c r="CY37" s="121">
        <v>584396.34</v>
      </c>
      <c r="CZ37" s="121">
        <v>681083.48</v>
      </c>
      <c r="DA37" s="195">
        <v>658198.04499999993</v>
      </c>
      <c r="DB37" s="121">
        <v>34219.792000000001</v>
      </c>
      <c r="DC37" s="121">
        <v>93307.58</v>
      </c>
      <c r="DD37" s="121">
        <v>155640.91200000001</v>
      </c>
      <c r="DE37" s="121">
        <v>227186.00700000001</v>
      </c>
      <c r="DF37" s="121">
        <v>297826.11599999998</v>
      </c>
      <c r="DG37" s="121">
        <v>368136.51</v>
      </c>
      <c r="DH37" s="121">
        <v>443236.81900000002</v>
      </c>
      <c r="DI37" s="195">
        <v>682108.84289452701</v>
      </c>
    </row>
    <row r="38" spans="1:115" ht="15" customHeight="1">
      <c r="A38" s="4" t="s">
        <v>19</v>
      </c>
      <c r="B38" s="4">
        <v>48227.762999999999</v>
      </c>
      <c r="C38" s="4">
        <v>68290.378000000026</v>
      </c>
      <c r="D38" s="4">
        <v>74451.896000000008</v>
      </c>
      <c r="E38" s="4">
        <v>79850.872999999992</v>
      </c>
      <c r="F38" s="4">
        <v>83141.870999999999</v>
      </c>
      <c r="G38" s="4">
        <v>57776.049000000014</v>
      </c>
      <c r="H38" s="4">
        <v>43265.800999999978</v>
      </c>
      <c r="I38" s="4">
        <v>39519.405000000013</v>
      </c>
      <c r="J38" s="4">
        <v>19307.939999999988</v>
      </c>
      <c r="K38" s="4">
        <v>12287.491999999984</v>
      </c>
      <c r="L38" s="4">
        <v>-14961.398000000001</v>
      </c>
      <c r="M38" s="4">
        <f>M39-M40</f>
        <v>-150546.78099999996</v>
      </c>
      <c r="N38" s="55">
        <v>31500</v>
      </c>
      <c r="O38" s="15">
        <f t="shared" ref="O38:AH38" si="56">O39-O40</f>
        <v>-164652.4</v>
      </c>
      <c r="P38" s="4">
        <f t="shared" si="56"/>
        <v>119649.43300000002</v>
      </c>
      <c r="Q38" s="4">
        <f t="shared" si="56"/>
        <v>142151.5830000001</v>
      </c>
      <c r="R38" s="4">
        <f t="shared" si="56"/>
        <v>142217.78000000003</v>
      </c>
      <c r="S38" s="4">
        <f t="shared" si="56"/>
        <v>144113.11900000006</v>
      </c>
      <c r="T38" s="4">
        <f t="shared" si="56"/>
        <v>116172</v>
      </c>
      <c r="U38" s="4">
        <f t="shared" si="56"/>
        <v>96076.564000000013</v>
      </c>
      <c r="V38" s="4">
        <f t="shared" si="56"/>
        <v>99085.07200000016</v>
      </c>
      <c r="W38" s="4">
        <f t="shared" si="56"/>
        <v>113552</v>
      </c>
      <c r="X38" s="4">
        <f t="shared" si="56"/>
        <v>107451.56099999975</v>
      </c>
      <c r="Y38" s="4">
        <f t="shared" si="56"/>
        <v>119302.79699999979</v>
      </c>
      <c r="Z38" s="4">
        <f t="shared" si="56"/>
        <v>50170.640999999829</v>
      </c>
      <c r="AA38" s="55">
        <f t="shared" si="56"/>
        <v>-61400</v>
      </c>
      <c r="AB38" s="4">
        <f t="shared" si="56"/>
        <v>108823.12500000003</v>
      </c>
      <c r="AC38" s="4">
        <f t="shared" si="56"/>
        <v>152159.19900000002</v>
      </c>
      <c r="AD38" s="74">
        <v>143649</v>
      </c>
      <c r="AE38" s="4">
        <f t="shared" si="56"/>
        <v>125121</v>
      </c>
      <c r="AF38" s="4">
        <f t="shared" si="56"/>
        <v>125388.18999999994</v>
      </c>
      <c r="AG38" s="4">
        <f t="shared" si="56"/>
        <v>101368</v>
      </c>
      <c r="AH38" s="4">
        <f t="shared" si="56"/>
        <v>94979.466999999946</v>
      </c>
      <c r="AI38" s="4">
        <f t="shared" ref="AI38:BA38" si="57">AI39-AI40</f>
        <v>109691.16599999997</v>
      </c>
      <c r="AJ38" s="4">
        <f t="shared" si="57"/>
        <v>111090.82599999988</v>
      </c>
      <c r="AK38" s="4">
        <f t="shared" si="57"/>
        <v>88540.959999999963</v>
      </c>
      <c r="AL38" s="4">
        <f t="shared" si="57"/>
        <v>78987.441000000108</v>
      </c>
      <c r="AM38" s="4">
        <f t="shared" si="57"/>
        <v>-39396.37099999981</v>
      </c>
      <c r="AN38" s="55">
        <v>-78578.826332102399</v>
      </c>
      <c r="AO38" s="4">
        <f t="shared" si="57"/>
        <v>51841.777000000002</v>
      </c>
      <c r="AP38" s="4">
        <f t="shared" si="57"/>
        <v>107011.89399999997</v>
      </c>
      <c r="AQ38" s="4">
        <f t="shared" si="57"/>
        <v>136866.31499999994</v>
      </c>
      <c r="AR38" s="4">
        <f t="shared" si="57"/>
        <v>71755.584000000032</v>
      </c>
      <c r="AS38" s="4">
        <f t="shared" si="57"/>
        <v>97451.14599999995</v>
      </c>
      <c r="AT38" s="4">
        <f t="shared" si="57"/>
        <v>43904.827000000048</v>
      </c>
      <c r="AU38" s="4">
        <f t="shared" si="57"/>
        <v>29653.451999999816</v>
      </c>
      <c r="AV38" s="4">
        <f t="shared" si="57"/>
        <v>33579</v>
      </c>
      <c r="AW38" s="4">
        <f t="shared" si="57"/>
        <v>21501.570999999996</v>
      </c>
      <c r="AX38" s="4">
        <f t="shared" si="57"/>
        <v>69163.685000000056</v>
      </c>
      <c r="AY38" s="4">
        <f t="shared" si="57"/>
        <v>43347</v>
      </c>
      <c r="AZ38" s="4">
        <f>AZ39-AZ40</f>
        <v>-91047.788000000175</v>
      </c>
      <c r="BA38" s="55">
        <f t="shared" si="57"/>
        <v>-74808.627526890021</v>
      </c>
      <c r="BB38" s="4">
        <f t="shared" ref="BB38:CN38" si="58">BB39-BB40</f>
        <v>16703.922999999981</v>
      </c>
      <c r="BC38" s="4">
        <f t="shared" si="58"/>
        <v>164205.67099999997</v>
      </c>
      <c r="BD38" s="4">
        <f t="shared" si="58"/>
        <v>145513.56299999997</v>
      </c>
      <c r="BE38" s="4">
        <f t="shared" si="58"/>
        <v>164636.58299999998</v>
      </c>
      <c r="BF38" s="4">
        <f t="shared" si="58"/>
        <v>153483.09400000004</v>
      </c>
      <c r="BG38" s="4">
        <f t="shared" si="58"/>
        <v>152800.46600000001</v>
      </c>
      <c r="BH38" s="4">
        <f>BH39-BH40</f>
        <v>179788.75600000005</v>
      </c>
      <c r="BI38" s="4">
        <f>BI39-BI40</f>
        <v>213558.67400000012</v>
      </c>
      <c r="BJ38" s="4">
        <f t="shared" si="58"/>
        <v>236659.66800000006</v>
      </c>
      <c r="BK38" s="4">
        <f t="shared" si="58"/>
        <v>266405.75499999989</v>
      </c>
      <c r="BL38" s="4">
        <f t="shared" si="58"/>
        <v>235826.10300000012</v>
      </c>
      <c r="BM38" s="4">
        <f t="shared" si="58"/>
        <v>62884.158999999985</v>
      </c>
      <c r="BN38" s="55">
        <f t="shared" si="58"/>
        <v>-196032.33908291021</v>
      </c>
      <c r="BO38" s="4">
        <f t="shared" si="58"/>
        <v>84479.097999999998</v>
      </c>
      <c r="BP38" s="117">
        <f t="shared" si="58"/>
        <v>119462.89199999999</v>
      </c>
      <c r="BQ38" s="4">
        <f t="shared" si="58"/>
        <v>63449.123999999953</v>
      </c>
      <c r="BR38" s="4">
        <f t="shared" si="58"/>
        <v>44164.059999999939</v>
      </c>
      <c r="BS38" s="4">
        <f t="shared" si="58"/>
        <v>64247.065999999875</v>
      </c>
      <c r="BT38" s="4">
        <f t="shared" si="58"/>
        <v>71601.894000000088</v>
      </c>
      <c r="BU38" s="4">
        <f t="shared" si="58"/>
        <v>87551.969999999972</v>
      </c>
      <c r="BV38" s="4">
        <f t="shared" si="58"/>
        <v>74225.887999999803</v>
      </c>
      <c r="BW38" s="4">
        <f t="shared" si="58"/>
        <v>65410.327000000048</v>
      </c>
      <c r="BX38" s="4">
        <f t="shared" si="58"/>
        <v>65576.429000000004</v>
      </c>
      <c r="BY38" s="117">
        <f t="shared" si="58"/>
        <v>42139.589999999851</v>
      </c>
      <c r="BZ38" s="4">
        <f t="shared" si="58"/>
        <v>-156000.11599999992</v>
      </c>
      <c r="CA38" s="135">
        <v>-41657.882324074861</v>
      </c>
      <c r="CB38" s="131">
        <f t="shared" si="58"/>
        <v>86956.73000000004</v>
      </c>
      <c r="CC38" s="4">
        <f t="shared" si="58"/>
        <v>128177.75699999998</v>
      </c>
      <c r="CD38" s="4">
        <f t="shared" si="58"/>
        <v>67846.929000000004</v>
      </c>
      <c r="CE38" s="4">
        <f t="shared" si="58"/>
        <v>79179.794999999925</v>
      </c>
      <c r="CF38" s="4">
        <f t="shared" si="58"/>
        <v>77228.06799999997</v>
      </c>
      <c r="CG38" s="4">
        <f t="shared" si="58"/>
        <v>95650.273000000045</v>
      </c>
      <c r="CH38" s="4">
        <f t="shared" si="58"/>
        <v>58257.898000000045</v>
      </c>
      <c r="CI38" s="4">
        <f t="shared" si="58"/>
        <v>84890.712000000291</v>
      </c>
      <c r="CJ38" s="4">
        <f t="shared" si="58"/>
        <v>109611.87800000003</v>
      </c>
      <c r="CK38" s="4">
        <f t="shared" si="58"/>
        <v>115883.18699999992</v>
      </c>
      <c r="CL38" s="4">
        <f t="shared" si="58"/>
        <v>101113.06300000008</v>
      </c>
      <c r="CM38" s="4">
        <f t="shared" si="58"/>
        <v>-48286.665000000037</v>
      </c>
      <c r="CN38" s="188">
        <f t="shared" si="58"/>
        <v>-65806.826679674443</v>
      </c>
      <c r="CO38" s="212">
        <f t="shared" ref="CO38:DI38" si="59">CO39-CO40</f>
        <v>69077.213999999978</v>
      </c>
      <c r="CP38" s="54">
        <f t="shared" si="59"/>
        <v>104693.23099999991</v>
      </c>
      <c r="CQ38" s="54">
        <f t="shared" si="59"/>
        <v>134249.902</v>
      </c>
      <c r="CR38" s="54">
        <f t="shared" si="59"/>
        <v>118577.598</v>
      </c>
      <c r="CS38" s="54">
        <f t="shared" si="59"/>
        <v>120767.31200000015</v>
      </c>
      <c r="CT38" s="54">
        <f t="shared" si="59"/>
        <v>131428.27000000002</v>
      </c>
      <c r="CU38" s="54">
        <f t="shared" si="59"/>
        <v>61633.138999999966</v>
      </c>
      <c r="CV38" s="54">
        <f t="shared" si="59"/>
        <v>66090.015999999829</v>
      </c>
      <c r="CW38" s="54">
        <f t="shared" si="59"/>
        <v>103447.31399999978</v>
      </c>
      <c r="CX38" s="54">
        <f t="shared" si="59"/>
        <v>85270.404999999795</v>
      </c>
      <c r="CY38" s="54">
        <f t="shared" si="59"/>
        <v>84315.290999999736</v>
      </c>
      <c r="CZ38" s="54">
        <f t="shared" si="59"/>
        <v>-47210.757999999914</v>
      </c>
      <c r="DA38" s="197">
        <f t="shared" si="59"/>
        <v>9999.9225332066417</v>
      </c>
      <c r="DB38" s="4">
        <f t="shared" si="59"/>
        <v>51011.107999999949</v>
      </c>
      <c r="DC38" s="4">
        <f t="shared" si="59"/>
        <v>97658</v>
      </c>
      <c r="DD38" s="4">
        <f t="shared" si="59"/>
        <v>113691.67500000005</v>
      </c>
      <c r="DE38" s="4">
        <f t="shared" si="59"/>
        <v>111338.02799999993</v>
      </c>
      <c r="DF38" s="4">
        <f t="shared" si="59"/>
        <v>121926.85299999989</v>
      </c>
      <c r="DG38" s="4">
        <f t="shared" si="59"/>
        <v>111167.53399999975</v>
      </c>
      <c r="DH38" s="4">
        <f t="shared" si="59"/>
        <v>42998.083000000101</v>
      </c>
      <c r="DI38" s="197">
        <f t="shared" si="59"/>
        <v>67821.190810320433</v>
      </c>
      <c r="DJ38" s="420"/>
      <c r="DK38" s="81"/>
    </row>
    <row r="39" spans="1:115" ht="15" customHeight="1">
      <c r="A39" s="9" t="s">
        <v>2</v>
      </c>
      <c r="B39" s="7">
        <v>198459.84899999999</v>
      </c>
      <c r="C39" s="7">
        <v>411407.58999999997</v>
      </c>
      <c r="D39" s="7">
        <v>619137.44099999999</v>
      </c>
      <c r="E39" s="7">
        <v>822003.32700000005</v>
      </c>
      <c r="F39" s="7">
        <v>1038542.7000000001</v>
      </c>
      <c r="G39" s="7">
        <v>1296641.7490000001</v>
      </c>
      <c r="H39" s="7">
        <v>1515150.871</v>
      </c>
      <c r="I39" s="7">
        <v>1721561.852</v>
      </c>
      <c r="J39" s="7">
        <v>1913664.2309999999</v>
      </c>
      <c r="K39" s="7">
        <v>2154892.2239999999</v>
      </c>
      <c r="L39" s="7">
        <v>2396479.9010000001</v>
      </c>
      <c r="M39" s="7">
        <v>2646103.6439999999</v>
      </c>
      <c r="N39" s="53">
        <v>2569400</v>
      </c>
      <c r="O39" s="21"/>
      <c r="P39" s="7">
        <v>481374.73200000002</v>
      </c>
      <c r="Q39" s="7">
        <v>719545.05</v>
      </c>
      <c r="R39" s="57">
        <v>935386.76899999997</v>
      </c>
      <c r="S39" s="57">
        <v>1183747.33</v>
      </c>
      <c r="T39" s="57">
        <v>1452280</v>
      </c>
      <c r="U39" s="57">
        <v>1679662.6329999999</v>
      </c>
      <c r="V39" s="57">
        <v>1897580.4350000001</v>
      </c>
      <c r="W39" s="57">
        <v>2133592</v>
      </c>
      <c r="X39" s="57">
        <v>2380720.2209999999</v>
      </c>
      <c r="Y39" s="57">
        <v>2635809.997</v>
      </c>
      <c r="Z39" s="57">
        <v>2921249.2749999999</v>
      </c>
      <c r="AA39" s="53">
        <v>2766600</v>
      </c>
      <c r="AB39" s="57">
        <v>290064.14500000002</v>
      </c>
      <c r="AC39" s="57">
        <v>541805.69400000002</v>
      </c>
      <c r="AD39" s="57">
        <v>756434</v>
      </c>
      <c r="AE39" s="57">
        <v>961483</v>
      </c>
      <c r="AF39" s="57">
        <v>1165254.42</v>
      </c>
      <c r="AG39" s="57">
        <v>1412532</v>
      </c>
      <c r="AH39" s="57">
        <v>1640761.3540000001</v>
      </c>
      <c r="AI39" s="57">
        <v>1856090.4180000001</v>
      </c>
      <c r="AJ39" s="57">
        <v>2079064.19</v>
      </c>
      <c r="AK39" s="57">
        <v>2311507.9449999998</v>
      </c>
      <c r="AL39" s="57">
        <v>2558696.352</v>
      </c>
      <c r="AM39" s="57">
        <v>2818320.5180000002</v>
      </c>
      <c r="AN39" s="53">
        <v>2803047.827</v>
      </c>
      <c r="AO39" s="57">
        <v>204517.329</v>
      </c>
      <c r="AP39" s="57">
        <v>473627.89399999997</v>
      </c>
      <c r="AQ39" s="57">
        <v>729107.19099999999</v>
      </c>
      <c r="AR39" s="57">
        <v>895143.38500000001</v>
      </c>
      <c r="AS39" s="57">
        <v>1149032.395</v>
      </c>
      <c r="AT39" s="57">
        <v>1432048.0120000001</v>
      </c>
      <c r="AU39" s="57">
        <v>1641072.0619999999</v>
      </c>
      <c r="AV39" s="57">
        <v>1842902</v>
      </c>
      <c r="AW39" s="57">
        <v>2052536.733</v>
      </c>
      <c r="AX39" s="57">
        <v>2351917.5180000002</v>
      </c>
      <c r="AY39" s="57">
        <v>2596172</v>
      </c>
      <c r="AZ39" s="57">
        <v>2876027.963</v>
      </c>
      <c r="BA39" s="53">
        <v>2685762.2050000001</v>
      </c>
      <c r="BB39" s="57">
        <v>190252.34599999999</v>
      </c>
      <c r="BC39" s="83">
        <v>546404.451</v>
      </c>
      <c r="BD39" s="83">
        <v>753878.66399999999</v>
      </c>
      <c r="BE39" s="83">
        <v>1007147.35</v>
      </c>
      <c r="BF39" s="83">
        <v>1249989.804</v>
      </c>
      <c r="BG39" s="83">
        <v>1574508.1939999999</v>
      </c>
      <c r="BH39" s="83">
        <v>1851119.922</v>
      </c>
      <c r="BI39" s="83">
        <v>2106869.6540000001</v>
      </c>
      <c r="BJ39" s="83">
        <v>2377306.5490000001</v>
      </c>
      <c r="BK39" s="83">
        <v>2698439.844</v>
      </c>
      <c r="BL39" s="83">
        <v>2978557.514</v>
      </c>
      <c r="BM39" s="83">
        <v>3252322.162</v>
      </c>
      <c r="BN39" s="53">
        <v>2909308.534</v>
      </c>
      <c r="BO39" s="88">
        <v>306465.26699999999</v>
      </c>
      <c r="BP39" s="111">
        <v>598759.31099999999</v>
      </c>
      <c r="BQ39" s="111">
        <v>824431.26</v>
      </c>
      <c r="BR39" s="111">
        <v>1087247.409</v>
      </c>
      <c r="BS39" s="111">
        <v>1382290.095</v>
      </c>
      <c r="BT39" s="111">
        <v>1758383.425</v>
      </c>
      <c r="BU39" s="111">
        <v>2059527.352</v>
      </c>
      <c r="BV39" s="111">
        <v>2323877.7349999999</v>
      </c>
      <c r="BW39" s="111">
        <v>2570087.5890000002</v>
      </c>
      <c r="BX39" s="111">
        <v>2885372.93</v>
      </c>
      <c r="BY39" s="121">
        <v>3186321.1359999999</v>
      </c>
      <c r="BZ39" s="7">
        <v>3480946.1510000001</v>
      </c>
      <c r="CA39" s="134">
        <v>3299606.0809999993</v>
      </c>
      <c r="CB39" s="121">
        <v>330116.00300000003</v>
      </c>
      <c r="CC39" s="121">
        <v>653337.29</v>
      </c>
      <c r="CD39" s="121">
        <v>873193.31200000003</v>
      </c>
      <c r="CE39" s="121">
        <v>1194136.774</v>
      </c>
      <c r="CF39" s="121">
        <v>1496456.2679999999</v>
      </c>
      <c r="CG39" s="121">
        <v>1886224.138</v>
      </c>
      <c r="CH39" s="121">
        <v>2175880.3080000002</v>
      </c>
      <c r="CI39" s="121">
        <v>2472728.6630000002</v>
      </c>
      <c r="CJ39" s="121">
        <v>2752889.4380000001</v>
      </c>
      <c r="CK39" s="121">
        <v>3098053.1680000001</v>
      </c>
      <c r="CL39" s="121">
        <v>3427852.2850000001</v>
      </c>
      <c r="CM39" s="121">
        <v>3750944.733</v>
      </c>
      <c r="CN39" s="186">
        <v>3613058.5869999994</v>
      </c>
      <c r="CO39" s="173">
        <v>334083.38199999998</v>
      </c>
      <c r="CP39" s="121">
        <v>655513.34</v>
      </c>
      <c r="CQ39" s="121">
        <v>986235.076</v>
      </c>
      <c r="CR39" s="121">
        <v>1323313.04</v>
      </c>
      <c r="CS39" s="121">
        <v>1650102.0330000001</v>
      </c>
      <c r="CT39" s="121">
        <v>2059277.7039999999</v>
      </c>
      <c r="CU39" s="121">
        <v>2353347.2450000001</v>
      </c>
      <c r="CV39" s="121">
        <v>2650146.8489999999</v>
      </c>
      <c r="CW39" s="121">
        <v>2998229.0129999998</v>
      </c>
      <c r="CX39" s="121">
        <v>3356224.5449999999</v>
      </c>
      <c r="CY39" s="121">
        <v>3701513.6009999998</v>
      </c>
      <c r="CZ39" s="121">
        <v>4061472.236</v>
      </c>
      <c r="DA39" s="195">
        <v>3960605.6229500002</v>
      </c>
      <c r="DB39" s="121">
        <v>326812.48599999998</v>
      </c>
      <c r="DC39" s="121">
        <v>686934</v>
      </c>
      <c r="DD39" s="121">
        <v>1034677.153</v>
      </c>
      <c r="DE39" s="121">
        <v>1370978.91</v>
      </c>
      <c r="DF39" s="121">
        <v>1707429.254</v>
      </c>
      <c r="DG39" s="121">
        <v>2117210.4079999998</v>
      </c>
      <c r="DH39" s="121">
        <v>2427809.9679999999</v>
      </c>
      <c r="DI39" s="195">
        <v>4197049.4882708704</v>
      </c>
      <c r="DK39" s="81"/>
    </row>
    <row r="40" spans="1:115" ht="15" customHeight="1">
      <c r="A40" s="9" t="s">
        <v>7</v>
      </c>
      <c r="B40" s="7">
        <v>150232.08600000001</v>
      </c>
      <c r="C40" s="7">
        <v>343117.212</v>
      </c>
      <c r="D40" s="7">
        <v>544685.54500000004</v>
      </c>
      <c r="E40" s="7">
        <v>742152.45400000003</v>
      </c>
      <c r="F40" s="7">
        <v>955400.82900000003</v>
      </c>
      <c r="G40" s="7">
        <v>1238865.7</v>
      </c>
      <c r="H40" s="7">
        <v>1471885.07</v>
      </c>
      <c r="I40" s="7">
        <v>1682042.4469999999</v>
      </c>
      <c r="J40" s="7">
        <v>1894356.291</v>
      </c>
      <c r="K40" s="7">
        <v>2142604.7319999998</v>
      </c>
      <c r="L40" s="7">
        <v>2411441.2989999996</v>
      </c>
      <c r="M40" s="7">
        <v>2796650.4249999998</v>
      </c>
      <c r="N40" s="53">
        <v>2537900</v>
      </c>
      <c r="O40" s="21">
        <v>164652.4</v>
      </c>
      <c r="P40" s="7">
        <v>361725.299</v>
      </c>
      <c r="Q40" s="7">
        <v>577393.46699999995</v>
      </c>
      <c r="R40" s="57">
        <v>793168.98899999994</v>
      </c>
      <c r="S40" s="57">
        <v>1039634.211</v>
      </c>
      <c r="T40" s="57">
        <v>1336108</v>
      </c>
      <c r="U40" s="57">
        <v>1583586.0689999999</v>
      </c>
      <c r="V40" s="57">
        <v>1798495.3629999999</v>
      </c>
      <c r="W40" s="57">
        <v>2020040</v>
      </c>
      <c r="X40" s="57">
        <v>2273268.66</v>
      </c>
      <c r="Y40" s="57">
        <v>2516507.2000000002</v>
      </c>
      <c r="Z40" s="57">
        <v>2871078.6340000001</v>
      </c>
      <c r="AA40" s="53">
        <v>2828000</v>
      </c>
      <c r="AB40" s="57">
        <v>181241.02</v>
      </c>
      <c r="AC40" s="57">
        <v>389646.495</v>
      </c>
      <c r="AD40" s="57">
        <v>612785</v>
      </c>
      <c r="AE40" s="57">
        <v>836362</v>
      </c>
      <c r="AF40" s="57">
        <v>1039866.23</v>
      </c>
      <c r="AG40" s="57">
        <v>1311164</v>
      </c>
      <c r="AH40" s="57">
        <v>1545781.8870000001</v>
      </c>
      <c r="AI40" s="57">
        <v>1746399.2520000001</v>
      </c>
      <c r="AJ40" s="57">
        <v>1967973.3640000001</v>
      </c>
      <c r="AK40" s="57">
        <v>2222966.9849999999</v>
      </c>
      <c r="AL40" s="57">
        <v>2479708.9109999998</v>
      </c>
      <c r="AM40" s="57">
        <v>2857716.889</v>
      </c>
      <c r="AN40" s="53">
        <v>2881626.6533320998</v>
      </c>
      <c r="AO40" s="57">
        <v>152675.552</v>
      </c>
      <c r="AP40" s="57">
        <v>366616</v>
      </c>
      <c r="AQ40" s="57">
        <v>592240.87600000005</v>
      </c>
      <c r="AR40" s="57">
        <v>823387.80099999998</v>
      </c>
      <c r="AS40" s="57">
        <v>1051581.2490000001</v>
      </c>
      <c r="AT40" s="57">
        <v>1388143.1850000001</v>
      </c>
      <c r="AU40" s="57">
        <v>1611418.61</v>
      </c>
      <c r="AV40" s="57">
        <v>1809323</v>
      </c>
      <c r="AW40" s="57">
        <v>2031035.162</v>
      </c>
      <c r="AX40" s="57">
        <v>2282753.8330000001</v>
      </c>
      <c r="AY40" s="57">
        <v>2552825</v>
      </c>
      <c r="AZ40" s="57">
        <v>2967075.7510000002</v>
      </c>
      <c r="BA40" s="53">
        <v>2760570.8325268901</v>
      </c>
      <c r="BB40" s="57">
        <v>173548.42300000001</v>
      </c>
      <c r="BC40" s="83">
        <v>382198.78</v>
      </c>
      <c r="BD40" s="83">
        <v>608365.10100000002</v>
      </c>
      <c r="BE40" s="83">
        <v>842510.76699999999</v>
      </c>
      <c r="BF40" s="83">
        <v>1096506.71</v>
      </c>
      <c r="BG40" s="83">
        <v>1421707.7279999999</v>
      </c>
      <c r="BH40" s="83">
        <v>1671331.166</v>
      </c>
      <c r="BI40" s="83">
        <v>1893310.98</v>
      </c>
      <c r="BJ40" s="83">
        <v>2140646.8810000001</v>
      </c>
      <c r="BK40" s="83">
        <v>2432034.0890000002</v>
      </c>
      <c r="BL40" s="83">
        <v>2742731.4109999998</v>
      </c>
      <c r="BM40" s="83">
        <v>3189438.003</v>
      </c>
      <c r="BN40" s="53">
        <v>3105340.8730829102</v>
      </c>
      <c r="BO40" s="83">
        <v>221986.16899999999</v>
      </c>
      <c r="BP40" s="83">
        <v>479296.41899999999</v>
      </c>
      <c r="BQ40" s="121">
        <v>760982.13600000006</v>
      </c>
      <c r="BR40" s="83">
        <v>1043083.349</v>
      </c>
      <c r="BS40" s="121">
        <v>1318043.0290000001</v>
      </c>
      <c r="BT40" s="121">
        <v>1686781.531</v>
      </c>
      <c r="BU40" s="121">
        <v>1971975.382</v>
      </c>
      <c r="BV40" s="121">
        <v>2249651.8470000001</v>
      </c>
      <c r="BW40" s="121">
        <v>2504677.2620000001</v>
      </c>
      <c r="BX40" s="121">
        <v>2819796.5010000002</v>
      </c>
      <c r="BY40" s="121">
        <v>3144181.5460000001</v>
      </c>
      <c r="BZ40" s="7">
        <v>3636946.267</v>
      </c>
      <c r="CA40" s="121">
        <v>3341263.9633240742</v>
      </c>
      <c r="CB40" s="173">
        <v>243159.27299999999</v>
      </c>
      <c r="CC40" s="121">
        <v>525159.53300000005</v>
      </c>
      <c r="CD40" s="121">
        <v>805346.38300000003</v>
      </c>
      <c r="CE40" s="121">
        <v>1114956.9790000001</v>
      </c>
      <c r="CF40" s="121">
        <v>1419228.2</v>
      </c>
      <c r="CG40" s="121">
        <v>1790573.865</v>
      </c>
      <c r="CH40" s="121">
        <v>2117622.41</v>
      </c>
      <c r="CI40" s="121">
        <v>2387837.9509999999</v>
      </c>
      <c r="CJ40" s="121">
        <v>2643277.56</v>
      </c>
      <c r="CK40" s="121">
        <v>2982169.9810000001</v>
      </c>
      <c r="CL40" s="121">
        <v>3326739.2220000001</v>
      </c>
      <c r="CM40" s="121">
        <v>3799231.398</v>
      </c>
      <c r="CN40" s="186">
        <v>3678865.4136796738</v>
      </c>
      <c r="CO40" s="173">
        <v>265006.16800000001</v>
      </c>
      <c r="CP40" s="121">
        <v>550820.10900000005</v>
      </c>
      <c r="CQ40" s="121">
        <v>851985.174</v>
      </c>
      <c r="CR40" s="121">
        <v>1204735.442</v>
      </c>
      <c r="CS40" s="121">
        <v>1529334.7209999999</v>
      </c>
      <c r="CT40" s="121">
        <v>1927849.4339999999</v>
      </c>
      <c r="CU40" s="121">
        <v>2291714.1060000001</v>
      </c>
      <c r="CV40" s="121">
        <v>2584056.8330000001</v>
      </c>
      <c r="CW40" s="121">
        <v>2894781.699</v>
      </c>
      <c r="CX40" s="121">
        <v>3270954.14</v>
      </c>
      <c r="CY40" s="121">
        <v>3617198.31</v>
      </c>
      <c r="CZ40" s="121">
        <v>4108682.9939999999</v>
      </c>
      <c r="DA40" s="195">
        <v>3950605.7004167936</v>
      </c>
      <c r="DB40" s="121">
        <v>275801.37800000003</v>
      </c>
      <c r="DC40" s="121">
        <v>589276</v>
      </c>
      <c r="DD40" s="121">
        <v>920985.478</v>
      </c>
      <c r="DE40" s="121">
        <v>1259640.882</v>
      </c>
      <c r="DF40" s="121">
        <v>1585502.4010000001</v>
      </c>
      <c r="DG40" s="121">
        <v>2006042.8740000001</v>
      </c>
      <c r="DH40" s="121">
        <v>2384811.8849999998</v>
      </c>
      <c r="DI40" s="195">
        <v>4129228.29746055</v>
      </c>
    </row>
    <row r="41" spans="1:115" ht="15" customHeight="1">
      <c r="A41" s="61" t="s">
        <v>200</v>
      </c>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c r="BI41" s="214"/>
      <c r="BJ41" s="214"/>
      <c r="BK41" s="214"/>
      <c r="BL41" s="214"/>
      <c r="BM41" s="214"/>
      <c r="BN41" s="214"/>
      <c r="BO41" s="214"/>
      <c r="BP41" s="214"/>
      <c r="BQ41" s="214"/>
      <c r="BR41" s="214"/>
      <c r="BS41" s="214"/>
      <c r="BT41" s="214"/>
      <c r="BU41" s="214"/>
      <c r="BV41" s="214"/>
      <c r="BW41" s="214"/>
      <c r="BX41" s="214"/>
      <c r="BY41" s="214"/>
      <c r="BZ41" s="214"/>
      <c r="CA41" s="214"/>
      <c r="CB41" s="214"/>
      <c r="CC41" s="214"/>
      <c r="CD41" s="214"/>
      <c r="CE41" s="214"/>
      <c r="CF41" s="214"/>
      <c r="CG41" s="214"/>
      <c r="CH41" s="214"/>
      <c r="CI41" s="214"/>
      <c r="CJ41" s="214"/>
      <c r="CK41" s="214"/>
      <c r="CL41" s="214"/>
      <c r="CM41" s="214"/>
      <c r="CN41" s="214"/>
      <c r="CO41" s="214"/>
      <c r="CP41" s="214"/>
      <c r="CQ41" s="214"/>
      <c r="CR41" s="214"/>
      <c r="CS41" s="214"/>
      <c r="CT41" s="214"/>
      <c r="CU41" s="214"/>
      <c r="CV41" s="214"/>
      <c r="CW41" s="214"/>
      <c r="CX41" s="214"/>
      <c r="CY41" s="214"/>
      <c r="CZ41" s="214"/>
      <c r="DA41" s="214"/>
    </row>
    <row r="42" spans="1:115" ht="15" customHeight="1">
      <c r="A42" s="209" t="s">
        <v>217</v>
      </c>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c r="BI42" s="214"/>
      <c r="BJ42" s="214"/>
      <c r="BK42" s="214"/>
      <c r="BL42" s="214"/>
      <c r="BM42" s="214"/>
      <c r="BN42" s="214"/>
      <c r="BO42" s="214"/>
      <c r="BP42" s="214"/>
      <c r="BQ42" s="214"/>
      <c r="BR42" s="214"/>
      <c r="BS42" s="214"/>
      <c r="BT42" s="214"/>
      <c r="BU42" s="214"/>
      <c r="BV42" s="214"/>
      <c r="BW42" s="214"/>
      <c r="BX42" s="214"/>
      <c r="BY42" s="214"/>
      <c r="BZ42" s="214"/>
      <c r="CA42" s="214"/>
      <c r="CB42" s="214"/>
      <c r="CC42" s="214"/>
      <c r="CD42" s="214"/>
      <c r="CE42" s="214"/>
      <c r="CF42" s="214"/>
      <c r="CG42" s="214"/>
      <c r="CH42" s="214"/>
      <c r="CI42" s="214"/>
      <c r="CJ42" s="214"/>
      <c r="CK42" s="214"/>
      <c r="CL42" s="214"/>
      <c r="CM42" s="214"/>
      <c r="CN42" s="214"/>
      <c r="CO42" s="214"/>
      <c r="CP42" s="214"/>
      <c r="CQ42" s="214"/>
      <c r="CR42" s="214"/>
      <c r="CS42" s="214"/>
      <c r="CT42" s="214"/>
      <c r="CU42" s="214"/>
      <c r="CV42" s="214"/>
      <c r="CW42" s="214"/>
      <c r="CX42" s="214"/>
      <c r="CY42" s="214"/>
      <c r="CZ42" s="214"/>
      <c r="DA42" s="214"/>
    </row>
    <row r="43" spans="1:115" ht="13.5" customHeight="1">
      <c r="A43" s="209" t="s">
        <v>230</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CN43" s="81"/>
    </row>
    <row r="44" spans="1:115">
      <c r="A44" s="287" t="s">
        <v>216</v>
      </c>
    </row>
  </sheetData>
  <hyperlinks>
    <hyperlink ref="A41" r:id="rId1" display="Avots: Valsts Kase" xr:uid="{D7AA124E-5857-4BB3-A687-C9B98D1B5D61}"/>
  </hyperlinks>
  <pageMargins left="0.70866141732283472" right="0.70866141732283472" top="0.74803149606299213" bottom="0.74803149606299213" header="0.31496062992125984" footer="0.31496062992125984"/>
  <pageSetup paperSize="9" scale="80" orientation="landscape" r:id="rId2"/>
  <ignoredErrors>
    <ignoredError sqref="DB29 DB32 DB35 DB38" formula="1"/>
  </ignoredError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Y438"/>
  <sheetViews>
    <sheetView topLeftCell="A18" zoomScale="80" zoomScaleNormal="80" workbookViewId="0">
      <selection activeCell="A18" sqref="A18:F18"/>
    </sheetView>
  </sheetViews>
  <sheetFormatPr defaultColWidth="0" defaultRowHeight="14.4" zeroHeight="1"/>
  <cols>
    <col min="1" max="1" width="10.77734375" style="89" customWidth="1"/>
    <col min="2" max="2" width="34.21875" style="89" customWidth="1"/>
    <col min="3" max="3" width="32.77734375" style="89" customWidth="1"/>
    <col min="4" max="4" width="15.77734375" style="89" customWidth="1"/>
    <col min="5" max="5" width="16.21875" style="89" customWidth="1"/>
    <col min="6" max="6" width="13" style="151" customWidth="1"/>
    <col min="7" max="7" width="12" style="151" customWidth="1"/>
    <col min="8" max="8" width="12.21875" style="149" hidden="1" customWidth="1"/>
    <col min="9" max="9" width="11.21875" style="149" hidden="1" customWidth="1"/>
    <col min="10" max="10" width="13.44140625" style="149" hidden="1" customWidth="1"/>
    <col min="11" max="11" width="13" style="149" hidden="1" customWidth="1"/>
    <col min="12" max="12" width="9.44140625" style="149" hidden="1" customWidth="1"/>
    <col min="13" max="13" width="12.44140625" style="149" hidden="1" customWidth="1"/>
    <col min="14" max="14" width="16.21875" style="149" hidden="1" customWidth="1"/>
    <col min="15" max="18" width="20.21875" style="178" hidden="1" customWidth="1"/>
    <col min="19" max="19" width="2.21875" style="178" hidden="1" customWidth="1"/>
    <col min="20" max="20" width="1.21875" style="178" hidden="1" customWidth="1"/>
    <col min="21" max="21" width="2.21875" style="178" hidden="1" customWidth="1"/>
    <col min="22" max="40" width="5.77734375" style="178" hidden="1" customWidth="1"/>
    <col min="41" max="16384" width="5.77734375" style="29" hidden="1"/>
  </cols>
  <sheetData>
    <row r="1" spans="1:51" s="27" customFormat="1" hidden="1">
      <c r="A1" s="149"/>
      <c r="B1" s="149"/>
      <c r="C1" s="149"/>
      <c r="D1" s="149"/>
      <c r="E1" s="149"/>
      <c r="F1" s="149"/>
      <c r="G1" s="149"/>
      <c r="H1" s="29"/>
      <c r="I1" s="29"/>
      <c r="J1" s="29"/>
      <c r="K1" s="29"/>
      <c r="L1" s="29"/>
      <c r="M1" s="29"/>
      <c r="N1" s="29"/>
      <c r="O1" s="178"/>
      <c r="P1" s="77"/>
      <c r="Q1" s="77"/>
      <c r="R1" s="77"/>
      <c r="S1" s="77"/>
      <c r="T1" s="77"/>
      <c r="U1" s="77"/>
      <c r="V1" s="77"/>
      <c r="W1" s="77"/>
      <c r="X1" s="77"/>
      <c r="Y1" s="77"/>
      <c r="Z1" s="77"/>
      <c r="AA1" s="77"/>
      <c r="AB1" s="77"/>
      <c r="AC1" s="77"/>
      <c r="AD1" s="77"/>
      <c r="AE1" s="77"/>
      <c r="AF1" s="77"/>
      <c r="AG1" s="77"/>
      <c r="AH1" s="77"/>
      <c r="AI1" s="77"/>
      <c r="AJ1" s="77"/>
      <c r="AK1" s="77"/>
      <c r="AL1" s="77"/>
      <c r="AM1" s="77"/>
      <c r="AN1" s="77"/>
      <c r="AO1" s="62"/>
      <c r="AP1" s="62"/>
      <c r="AQ1" s="62"/>
      <c r="AR1" s="62"/>
      <c r="AS1" s="62"/>
      <c r="AT1" s="62"/>
      <c r="AU1" s="62"/>
      <c r="AV1" s="62"/>
      <c r="AW1" s="62"/>
      <c r="AX1" s="62"/>
      <c r="AY1" s="62"/>
    </row>
    <row r="2" spans="1:51" s="27" customFormat="1" hidden="1">
      <c r="A2" s="149"/>
      <c r="B2" s="149"/>
      <c r="C2" s="149"/>
      <c r="D2" s="149"/>
      <c r="E2" s="149"/>
      <c r="F2" s="149"/>
      <c r="G2" s="149"/>
      <c r="H2" s="29"/>
      <c r="I2" s="29"/>
      <c r="J2" s="29"/>
      <c r="K2" s="29"/>
      <c r="L2" s="29"/>
      <c r="M2" s="29"/>
      <c r="N2" s="29"/>
      <c r="O2" s="178"/>
      <c r="P2" s="77"/>
      <c r="Q2" s="77"/>
      <c r="R2" s="77"/>
      <c r="S2" s="77"/>
      <c r="T2" s="77"/>
      <c r="U2" s="77"/>
      <c r="V2" s="77"/>
      <c r="W2" s="77"/>
      <c r="X2" s="77"/>
      <c r="Y2" s="77"/>
      <c r="Z2" s="77"/>
      <c r="AA2" s="77"/>
      <c r="AB2" s="77"/>
      <c r="AC2" s="77"/>
      <c r="AD2" s="77"/>
      <c r="AE2" s="77"/>
      <c r="AF2" s="77"/>
      <c r="AG2" s="77"/>
      <c r="AH2" s="77"/>
      <c r="AI2" s="77"/>
      <c r="AJ2" s="77"/>
      <c r="AK2" s="77"/>
      <c r="AL2" s="77"/>
      <c r="AM2" s="77"/>
      <c r="AN2" s="77"/>
      <c r="AO2" s="62"/>
      <c r="AP2" s="62"/>
      <c r="AQ2" s="62"/>
      <c r="AR2" s="62"/>
      <c r="AS2" s="62"/>
      <c r="AT2" s="62"/>
      <c r="AU2" s="62"/>
      <c r="AV2" s="62"/>
      <c r="AW2" s="62"/>
      <c r="AX2" s="62"/>
      <c r="AY2" s="62"/>
    </row>
    <row r="3" spans="1:51" s="27" customFormat="1" hidden="1">
      <c r="A3" s="149"/>
      <c r="B3" s="149"/>
      <c r="C3" s="149"/>
      <c r="D3" s="149"/>
      <c r="E3" s="149"/>
      <c r="F3" s="149"/>
      <c r="G3" s="149"/>
      <c r="H3" s="29"/>
      <c r="I3" s="29"/>
      <c r="J3" s="29"/>
      <c r="K3" s="29"/>
      <c r="L3" s="29"/>
      <c r="M3" s="29"/>
      <c r="N3" s="29"/>
      <c r="O3" s="178"/>
      <c r="P3" s="77"/>
      <c r="Q3" s="77"/>
      <c r="R3" s="77"/>
      <c r="S3" s="77"/>
      <c r="T3" s="77"/>
      <c r="U3" s="77"/>
      <c r="V3" s="77"/>
      <c r="W3" s="77"/>
      <c r="X3" s="77"/>
      <c r="Y3" s="77"/>
      <c r="Z3" s="77"/>
      <c r="AA3" s="77"/>
      <c r="AB3" s="77"/>
      <c r="AC3" s="77"/>
      <c r="AD3" s="77"/>
      <c r="AE3" s="77"/>
      <c r="AF3" s="77"/>
      <c r="AG3" s="77"/>
      <c r="AH3" s="77"/>
      <c r="AI3" s="77"/>
      <c r="AJ3" s="77"/>
      <c r="AK3" s="77"/>
      <c r="AL3" s="77"/>
      <c r="AM3" s="77"/>
      <c r="AN3" s="77"/>
      <c r="AO3" s="62"/>
      <c r="AP3" s="62"/>
      <c r="AQ3" s="62"/>
      <c r="AR3" s="62"/>
      <c r="AS3" s="62"/>
      <c r="AT3" s="62"/>
      <c r="AU3" s="62"/>
      <c r="AV3" s="62"/>
      <c r="AW3" s="62"/>
      <c r="AX3" s="62"/>
      <c r="AY3" s="62"/>
    </row>
    <row r="4" spans="1:51" s="27" customFormat="1" hidden="1">
      <c r="A4" s="149"/>
      <c r="B4" s="149"/>
      <c r="C4" s="149"/>
      <c r="D4" s="149"/>
      <c r="E4" s="149"/>
      <c r="F4" s="149"/>
      <c r="G4" s="149"/>
      <c r="H4" s="29"/>
      <c r="I4" s="29"/>
      <c r="J4" s="29"/>
      <c r="K4" s="29"/>
      <c r="L4" s="29"/>
      <c r="M4" s="29"/>
      <c r="N4" s="29"/>
      <c r="O4" s="178"/>
      <c r="P4" s="77"/>
      <c r="Q4" s="77"/>
      <c r="R4" s="77"/>
      <c r="S4" s="77"/>
      <c r="T4" s="77"/>
      <c r="U4" s="77"/>
      <c r="V4" s="77"/>
      <c r="W4" s="77"/>
      <c r="X4" s="77"/>
      <c r="Y4" s="77"/>
      <c r="Z4" s="77"/>
      <c r="AA4" s="77"/>
      <c r="AB4" s="77"/>
      <c r="AC4" s="77"/>
      <c r="AD4" s="77"/>
      <c r="AE4" s="77"/>
      <c r="AF4" s="77"/>
      <c r="AG4" s="77"/>
      <c r="AH4" s="77"/>
      <c r="AI4" s="77"/>
      <c r="AJ4" s="77"/>
      <c r="AK4" s="77"/>
      <c r="AL4" s="77"/>
      <c r="AM4" s="77"/>
      <c r="AN4" s="77"/>
      <c r="AO4" s="62"/>
      <c r="AP4" s="62"/>
      <c r="AQ4" s="62"/>
      <c r="AR4" s="62"/>
      <c r="AS4" s="62"/>
      <c r="AT4" s="62"/>
      <c r="AU4" s="62"/>
      <c r="AV4" s="62"/>
      <c r="AW4" s="62"/>
      <c r="AX4" s="62"/>
      <c r="AY4" s="62"/>
    </row>
    <row r="5" spans="1:51" s="27" customFormat="1" hidden="1">
      <c r="A5" s="149"/>
      <c r="B5" s="149"/>
      <c r="C5" s="149"/>
      <c r="D5" s="149"/>
      <c r="E5" s="149"/>
      <c r="F5" s="149"/>
      <c r="G5" s="149"/>
      <c r="H5" s="29"/>
      <c r="I5" s="29"/>
      <c r="J5" s="29"/>
      <c r="K5" s="29"/>
      <c r="L5" s="29"/>
      <c r="M5" s="29"/>
      <c r="N5" s="29"/>
      <c r="O5" s="178"/>
      <c r="P5" s="77"/>
      <c r="Q5" s="77"/>
      <c r="R5" s="77"/>
      <c r="S5" s="77"/>
      <c r="T5" s="77"/>
      <c r="U5" s="77"/>
      <c r="V5" s="77"/>
      <c r="W5" s="77"/>
      <c r="X5" s="77"/>
      <c r="Y5" s="77"/>
      <c r="Z5" s="77"/>
      <c r="AA5" s="77"/>
      <c r="AB5" s="77"/>
      <c r="AC5" s="77"/>
      <c r="AD5" s="77"/>
      <c r="AE5" s="77"/>
      <c r="AF5" s="77"/>
      <c r="AG5" s="77"/>
      <c r="AH5" s="77"/>
      <c r="AI5" s="77"/>
      <c r="AJ5" s="77"/>
      <c r="AK5" s="77"/>
      <c r="AL5" s="77"/>
      <c r="AM5" s="77"/>
      <c r="AN5" s="77"/>
      <c r="AO5" s="62"/>
      <c r="AP5" s="62"/>
      <c r="AQ5" s="62"/>
      <c r="AR5" s="62"/>
      <c r="AS5" s="62"/>
      <c r="AT5" s="62"/>
      <c r="AU5" s="62"/>
      <c r="AV5" s="62"/>
      <c r="AW5" s="62"/>
      <c r="AX5" s="62"/>
      <c r="AY5" s="62"/>
    </row>
    <row r="6" spans="1:51" s="27" customFormat="1" hidden="1">
      <c r="A6" s="149"/>
      <c r="B6" s="149"/>
      <c r="C6" s="149"/>
      <c r="D6" s="149"/>
      <c r="E6" s="149"/>
      <c r="F6" s="149"/>
      <c r="G6" s="149"/>
      <c r="H6" s="29"/>
      <c r="I6" s="29"/>
      <c r="J6" s="29"/>
      <c r="K6" s="29"/>
      <c r="L6" s="29"/>
      <c r="M6" s="29"/>
      <c r="N6" s="29"/>
      <c r="O6" s="178"/>
      <c r="P6" s="77"/>
      <c r="Q6" s="77"/>
      <c r="R6" s="77"/>
      <c r="S6" s="77"/>
      <c r="T6" s="77"/>
      <c r="U6" s="77"/>
      <c r="V6" s="77"/>
      <c r="W6" s="77"/>
      <c r="X6" s="77"/>
      <c r="Y6" s="77"/>
      <c r="Z6" s="77"/>
      <c r="AA6" s="77"/>
      <c r="AB6" s="77"/>
      <c r="AC6" s="77"/>
      <c r="AD6" s="77"/>
      <c r="AE6" s="77"/>
      <c r="AF6" s="77"/>
      <c r="AG6" s="77"/>
      <c r="AH6" s="77"/>
      <c r="AI6" s="77"/>
      <c r="AJ6" s="77"/>
      <c r="AK6" s="77"/>
      <c r="AL6" s="77"/>
      <c r="AM6" s="77"/>
      <c r="AN6" s="77"/>
      <c r="AO6" s="62"/>
      <c r="AP6" s="62"/>
      <c r="AQ6" s="62"/>
      <c r="AR6" s="62"/>
      <c r="AS6" s="62"/>
      <c r="AT6" s="62"/>
      <c r="AU6" s="62"/>
      <c r="AV6" s="62"/>
      <c r="AW6" s="62"/>
      <c r="AX6" s="62"/>
      <c r="AY6" s="62"/>
    </row>
    <row r="7" spans="1:51" s="27" customFormat="1" hidden="1">
      <c r="A7" s="149"/>
      <c r="B7" s="149"/>
      <c r="C7" s="149"/>
      <c r="D7" s="149"/>
      <c r="E7" s="149"/>
      <c r="F7" s="149"/>
      <c r="G7" s="149"/>
      <c r="H7" s="29"/>
      <c r="I7" s="29"/>
      <c r="J7" s="29"/>
      <c r="K7" s="29"/>
      <c r="L7" s="29"/>
      <c r="M7" s="29"/>
      <c r="N7" s="29"/>
      <c r="O7" s="178"/>
      <c r="P7" s="77"/>
      <c r="Q7" s="77"/>
      <c r="R7" s="77"/>
      <c r="S7" s="77"/>
      <c r="T7" s="77"/>
      <c r="U7" s="77"/>
      <c r="V7" s="77"/>
      <c r="W7" s="77"/>
      <c r="X7" s="77"/>
      <c r="Y7" s="77"/>
      <c r="Z7" s="77"/>
      <c r="AA7" s="77"/>
      <c r="AB7" s="77"/>
      <c r="AC7" s="77"/>
      <c r="AD7" s="77"/>
      <c r="AE7" s="77"/>
      <c r="AF7" s="77"/>
      <c r="AG7" s="77"/>
      <c r="AH7" s="77"/>
      <c r="AI7" s="77"/>
      <c r="AJ7" s="77"/>
      <c r="AK7" s="77"/>
      <c r="AL7" s="77"/>
      <c r="AM7" s="77"/>
      <c r="AN7" s="77"/>
      <c r="AO7" s="62"/>
      <c r="AP7" s="62"/>
      <c r="AQ7" s="62"/>
      <c r="AR7" s="62"/>
      <c r="AS7" s="62"/>
      <c r="AT7" s="62"/>
      <c r="AU7" s="62"/>
      <c r="AV7" s="62"/>
      <c r="AW7" s="62"/>
      <c r="AX7" s="62"/>
      <c r="AY7" s="62"/>
    </row>
    <row r="8" spans="1:51" s="27" customFormat="1" hidden="1">
      <c r="A8" s="149"/>
      <c r="B8" s="149"/>
      <c r="C8" s="149"/>
      <c r="D8" s="149"/>
      <c r="E8" s="149"/>
      <c r="F8" s="149"/>
      <c r="G8" s="149"/>
      <c r="H8" s="29"/>
      <c r="I8" s="29"/>
      <c r="J8" s="29"/>
      <c r="K8" s="29"/>
      <c r="L8" s="29"/>
      <c r="M8" s="29"/>
      <c r="N8" s="29"/>
      <c r="O8" s="178"/>
      <c r="P8" s="77"/>
      <c r="Q8" s="77"/>
      <c r="R8" s="77"/>
      <c r="S8" s="77"/>
      <c r="T8" s="77"/>
      <c r="U8" s="77"/>
      <c r="V8" s="77"/>
      <c r="W8" s="77"/>
      <c r="X8" s="77"/>
      <c r="Y8" s="77"/>
      <c r="Z8" s="77"/>
      <c r="AA8" s="77"/>
      <c r="AB8" s="77"/>
      <c r="AC8" s="77"/>
      <c r="AD8" s="77"/>
      <c r="AE8" s="77"/>
      <c r="AF8" s="77"/>
      <c r="AG8" s="77"/>
      <c r="AH8" s="77"/>
      <c r="AI8" s="77"/>
      <c r="AJ8" s="77"/>
      <c r="AK8" s="77"/>
      <c r="AL8" s="77"/>
      <c r="AM8" s="77"/>
      <c r="AN8" s="77"/>
      <c r="AO8" s="62"/>
      <c r="AP8" s="62"/>
      <c r="AQ8" s="62"/>
      <c r="AR8" s="62"/>
      <c r="AS8" s="62"/>
      <c r="AT8" s="62"/>
      <c r="AU8" s="62"/>
      <c r="AV8" s="62"/>
      <c r="AW8" s="62"/>
      <c r="AX8" s="62"/>
      <c r="AY8" s="62"/>
    </row>
    <row r="9" spans="1:51" s="27" customFormat="1" hidden="1">
      <c r="A9" s="149"/>
      <c r="B9" s="149"/>
      <c r="C9" s="149"/>
      <c r="D9" s="149"/>
      <c r="E9" s="149"/>
      <c r="F9" s="149"/>
      <c r="G9" s="149"/>
      <c r="H9" s="29"/>
      <c r="I9" s="29"/>
      <c r="J9" s="29"/>
      <c r="K9" s="29"/>
      <c r="L9" s="29"/>
      <c r="M9" s="29"/>
      <c r="N9" s="29"/>
      <c r="O9" s="178"/>
      <c r="P9" s="77"/>
      <c r="Q9" s="77"/>
      <c r="R9" s="77"/>
      <c r="S9" s="77"/>
      <c r="T9" s="77"/>
      <c r="U9" s="77"/>
      <c r="V9" s="77"/>
      <c r="W9" s="77"/>
      <c r="X9" s="77"/>
      <c r="Y9" s="77"/>
      <c r="Z9" s="77"/>
      <c r="AA9" s="77"/>
      <c r="AB9" s="77"/>
      <c r="AC9" s="77"/>
      <c r="AD9" s="77"/>
      <c r="AE9" s="77"/>
      <c r="AF9" s="77"/>
      <c r="AG9" s="77"/>
      <c r="AH9" s="77"/>
      <c r="AI9" s="77"/>
      <c r="AJ9" s="77"/>
      <c r="AK9" s="77"/>
      <c r="AL9" s="77"/>
      <c r="AM9" s="77"/>
      <c r="AN9" s="77"/>
      <c r="AO9" s="62"/>
      <c r="AP9" s="62"/>
      <c r="AQ9" s="62"/>
      <c r="AR9" s="62"/>
      <c r="AS9" s="62"/>
      <c r="AT9" s="62"/>
      <c r="AU9" s="62"/>
      <c r="AV9" s="62"/>
      <c r="AW9" s="62"/>
      <c r="AX9" s="62"/>
      <c r="AY9" s="62"/>
    </row>
    <row r="10" spans="1:51" s="27" customFormat="1" hidden="1">
      <c r="A10" s="149"/>
      <c r="B10" s="149"/>
      <c r="C10" s="149"/>
      <c r="D10" s="149"/>
      <c r="E10" s="149"/>
      <c r="F10" s="149"/>
      <c r="G10" s="149"/>
      <c r="H10" s="29"/>
      <c r="I10" s="29"/>
      <c r="J10" s="29"/>
      <c r="K10" s="29"/>
      <c r="L10" s="29"/>
      <c r="M10" s="29"/>
      <c r="N10" s="29"/>
      <c r="O10" s="178"/>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62"/>
      <c r="AP10" s="62"/>
      <c r="AQ10" s="62"/>
      <c r="AR10" s="62"/>
      <c r="AS10" s="62"/>
      <c r="AT10" s="62"/>
      <c r="AU10" s="62"/>
      <c r="AV10" s="62"/>
      <c r="AW10" s="62"/>
      <c r="AX10" s="62"/>
      <c r="AY10" s="62"/>
    </row>
    <row r="11" spans="1:51" s="27" customFormat="1" hidden="1">
      <c r="A11" s="149"/>
      <c r="B11" s="149"/>
      <c r="C11" s="149"/>
      <c r="D11" s="149"/>
      <c r="E11" s="149"/>
      <c r="F11" s="149"/>
      <c r="G11" s="149"/>
      <c r="H11" s="29"/>
      <c r="I11" s="29"/>
      <c r="J11" s="29"/>
      <c r="K11" s="29"/>
      <c r="L11" s="29"/>
      <c r="M11" s="29"/>
      <c r="N11" s="29"/>
      <c r="O11" s="178"/>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62"/>
      <c r="AP11" s="62"/>
      <c r="AQ11" s="62"/>
      <c r="AR11" s="62"/>
      <c r="AS11" s="62"/>
      <c r="AT11" s="62"/>
      <c r="AU11" s="62"/>
      <c r="AV11" s="62"/>
      <c r="AW11" s="62"/>
      <c r="AX11" s="62"/>
      <c r="AY11" s="62"/>
    </row>
    <row r="12" spans="1:51" s="27" customFormat="1" hidden="1">
      <c r="A12" s="149"/>
      <c r="B12" s="149"/>
      <c r="C12" s="149"/>
      <c r="D12" s="149"/>
      <c r="E12" s="149"/>
      <c r="F12" s="149"/>
      <c r="G12" s="149"/>
      <c r="H12" s="29"/>
      <c r="I12" s="29"/>
      <c r="J12" s="29"/>
      <c r="K12" s="29"/>
      <c r="L12" s="29"/>
      <c r="M12" s="29"/>
      <c r="N12" s="29"/>
      <c r="O12" s="178"/>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62"/>
      <c r="AP12" s="62"/>
      <c r="AQ12" s="62"/>
      <c r="AR12" s="62"/>
      <c r="AS12" s="62"/>
      <c r="AT12" s="62"/>
      <c r="AU12" s="62"/>
      <c r="AV12" s="62"/>
      <c r="AW12" s="62"/>
      <c r="AX12" s="62"/>
      <c r="AY12" s="62"/>
    </row>
    <row r="13" spans="1:51" s="27" customFormat="1" hidden="1">
      <c r="A13" s="149"/>
      <c r="B13" s="149"/>
      <c r="C13" s="149"/>
      <c r="D13" s="149"/>
      <c r="E13" s="149"/>
      <c r="F13" s="149"/>
      <c r="G13" s="149"/>
      <c r="H13" s="29"/>
      <c r="I13" s="29"/>
      <c r="J13" s="29"/>
      <c r="K13" s="29"/>
      <c r="L13" s="29"/>
      <c r="M13" s="29"/>
      <c r="N13" s="29"/>
      <c r="O13" s="178"/>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62"/>
      <c r="AP13" s="62"/>
      <c r="AQ13" s="62"/>
      <c r="AR13" s="62"/>
      <c r="AS13" s="62"/>
      <c r="AT13" s="62"/>
      <c r="AU13" s="62"/>
      <c r="AV13" s="62"/>
      <c r="AW13" s="62"/>
      <c r="AX13" s="62"/>
      <c r="AY13" s="62"/>
    </row>
    <row r="14" spans="1:51" s="27" customFormat="1" ht="15" hidden="1" thickBot="1">
      <c r="A14" s="149"/>
      <c r="B14" s="149"/>
      <c r="C14" s="149"/>
      <c r="D14" s="149"/>
      <c r="E14" s="149"/>
      <c r="F14" s="149"/>
      <c r="G14" s="149"/>
      <c r="H14" s="29"/>
      <c r="I14" s="29"/>
      <c r="J14" s="29"/>
      <c r="K14" s="29"/>
      <c r="L14" s="29"/>
      <c r="M14" s="29"/>
      <c r="N14" s="29"/>
      <c r="O14" s="178"/>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62"/>
      <c r="AP14" s="62"/>
      <c r="AQ14" s="62"/>
      <c r="AR14" s="62"/>
      <c r="AS14" s="62"/>
      <c r="AT14" s="62"/>
      <c r="AU14" s="62"/>
      <c r="AV14" s="62"/>
      <c r="AW14" s="62"/>
      <c r="AX14" s="62"/>
      <c r="AY14" s="62"/>
    </row>
    <row r="15" spans="1:51" s="27" customFormat="1" ht="15" hidden="1" thickBot="1">
      <c r="A15" s="149"/>
      <c r="B15" s="332">
        <v>65</v>
      </c>
      <c r="C15" s="333">
        <v>78</v>
      </c>
      <c r="D15" s="149"/>
      <c r="E15" s="149"/>
      <c r="F15" s="149"/>
      <c r="G15" s="149"/>
      <c r="H15" s="29"/>
      <c r="I15" s="29"/>
      <c r="J15" s="29"/>
      <c r="K15" s="29"/>
      <c r="L15" s="29"/>
      <c r="M15" s="29"/>
      <c r="N15" s="29"/>
      <c r="O15" s="178"/>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62"/>
      <c r="AP15" s="62"/>
      <c r="AQ15" s="62"/>
      <c r="AR15" s="62"/>
      <c r="AS15" s="62"/>
      <c r="AT15" s="62"/>
      <c r="AU15" s="62"/>
      <c r="AV15" s="62"/>
      <c r="AW15" s="62"/>
      <c r="AX15" s="62"/>
      <c r="AY15" s="62"/>
    </row>
    <row r="16" spans="1:51" s="27" customFormat="1" ht="13.8" hidden="1">
      <c r="A16" s="89"/>
      <c r="B16" s="89"/>
      <c r="C16" s="89"/>
      <c r="D16" s="89"/>
      <c r="E16" s="89"/>
      <c r="F16" s="89"/>
      <c r="G16" s="89"/>
      <c r="H16" s="29"/>
      <c r="I16" s="29"/>
      <c r="J16" s="29"/>
      <c r="K16" s="29"/>
      <c r="L16" s="29"/>
      <c r="M16" s="29"/>
      <c r="N16" s="29"/>
      <c r="O16" s="178"/>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62"/>
      <c r="AP16" s="62"/>
      <c r="AQ16" s="62"/>
      <c r="AR16" s="62"/>
      <c r="AS16" s="62"/>
      <c r="AT16" s="62"/>
      <c r="AU16" s="62"/>
      <c r="AV16" s="62"/>
      <c r="AW16" s="62"/>
      <c r="AX16" s="62"/>
      <c r="AY16" s="62"/>
    </row>
    <row r="17" spans="1:51" s="27" customFormat="1" ht="13.5" hidden="1" customHeight="1">
      <c r="A17" s="89"/>
      <c r="B17" s="89"/>
      <c r="C17" s="89"/>
      <c r="D17" s="89"/>
      <c r="E17" s="89"/>
      <c r="F17" s="89"/>
      <c r="G17" s="89"/>
      <c r="H17" s="29"/>
      <c r="I17" s="29"/>
      <c r="J17" s="29"/>
      <c r="K17" s="29"/>
      <c r="L17" s="29"/>
      <c r="M17" s="29"/>
      <c r="N17" s="29"/>
      <c r="O17" s="178"/>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62"/>
      <c r="AP17" s="62"/>
      <c r="AQ17" s="62"/>
      <c r="AR17" s="62"/>
      <c r="AS17" s="62"/>
      <c r="AT17" s="62"/>
      <c r="AU17" s="62"/>
      <c r="AV17" s="62"/>
      <c r="AW17" s="62"/>
      <c r="AX17" s="62"/>
      <c r="AY17" s="62"/>
    </row>
    <row r="18" spans="1:51" s="27" customFormat="1" ht="13.8">
      <c r="A18" s="404" t="s">
        <v>35</v>
      </c>
      <c r="B18" s="405"/>
      <c r="C18" s="405"/>
      <c r="D18" s="405"/>
      <c r="E18" s="405"/>
      <c r="F18" s="406"/>
      <c r="G18" s="89"/>
      <c r="H18" s="29"/>
      <c r="I18" s="29"/>
      <c r="J18" s="29"/>
      <c r="K18" s="29"/>
      <c r="L18" s="29"/>
      <c r="M18" s="29"/>
      <c r="N18" s="29"/>
      <c r="O18" s="178"/>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62"/>
      <c r="AP18" s="62"/>
      <c r="AQ18" s="62"/>
      <c r="AR18" s="62"/>
      <c r="AS18" s="62"/>
      <c r="AT18" s="62"/>
      <c r="AU18" s="62"/>
      <c r="AV18" s="62"/>
      <c r="AW18" s="62"/>
      <c r="AX18" s="62"/>
      <c r="AY18" s="62"/>
    </row>
    <row r="19" spans="1:51" s="27" customFormat="1" ht="13.8">
      <c r="A19" s="90" t="s">
        <v>30</v>
      </c>
      <c r="B19" s="407" t="s">
        <v>23</v>
      </c>
      <c r="C19" s="408"/>
      <c r="D19" s="407" t="s">
        <v>33</v>
      </c>
      <c r="E19" s="408"/>
      <c r="F19" s="91" t="s">
        <v>22</v>
      </c>
      <c r="G19" s="89"/>
      <c r="H19" s="29"/>
      <c r="I19" s="29"/>
      <c r="J19" s="29"/>
      <c r="K19" s="29"/>
      <c r="L19" s="29"/>
      <c r="M19" s="29"/>
      <c r="N19" s="29"/>
      <c r="O19" s="178"/>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62"/>
      <c r="AP19" s="62"/>
      <c r="AQ19" s="62"/>
      <c r="AR19" s="62"/>
      <c r="AS19" s="62"/>
      <c r="AT19" s="62"/>
      <c r="AU19" s="62"/>
      <c r="AV19" s="62"/>
      <c r="AW19" s="62"/>
      <c r="AX19" s="62"/>
      <c r="AY19" s="62"/>
    </row>
    <row r="20" spans="1:51" s="27" customFormat="1" ht="13.8">
      <c r="A20" s="92">
        <v>1</v>
      </c>
      <c r="B20" s="93">
        <v>2</v>
      </c>
      <c r="C20" s="93">
        <v>3</v>
      </c>
      <c r="D20" s="93">
        <v>4</v>
      </c>
      <c r="E20" s="92">
        <v>5</v>
      </c>
      <c r="F20" s="93">
        <v>6</v>
      </c>
      <c r="G20" s="89"/>
      <c r="H20" s="29"/>
      <c r="I20" s="29"/>
      <c r="J20" s="29"/>
      <c r="K20" s="29"/>
      <c r="L20" s="29"/>
      <c r="M20" s="29"/>
      <c r="N20" s="29"/>
      <c r="O20" s="178"/>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62"/>
      <c r="AP20" s="62"/>
      <c r="AQ20" s="62"/>
      <c r="AR20" s="62"/>
      <c r="AS20" s="62"/>
      <c r="AT20" s="62"/>
      <c r="AU20" s="62"/>
      <c r="AV20" s="62"/>
      <c r="AW20" s="62"/>
      <c r="AX20" s="62"/>
      <c r="AY20" s="62"/>
    </row>
    <row r="21" spans="1:51" s="27" customFormat="1" ht="13.8">
      <c r="A21" s="94"/>
      <c r="B21" s="93" t="s">
        <v>51</v>
      </c>
      <c r="C21" s="93" t="s">
        <v>31</v>
      </c>
      <c r="D21" s="93" t="s">
        <v>51</v>
      </c>
      <c r="E21" s="93" t="s">
        <v>31</v>
      </c>
      <c r="F21" s="92" t="s">
        <v>31</v>
      </c>
      <c r="G21" s="89"/>
      <c r="H21" s="29"/>
      <c r="I21" s="29"/>
      <c r="J21" s="29"/>
      <c r="K21" s="29"/>
      <c r="L21" s="29"/>
      <c r="M21" s="29"/>
      <c r="N21" s="29"/>
      <c r="O21" s="178"/>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62"/>
      <c r="AP21" s="62"/>
      <c r="AQ21" s="62"/>
      <c r="AR21" s="62"/>
      <c r="AS21" s="62"/>
      <c r="AT21" s="62"/>
      <c r="AU21" s="62"/>
      <c r="AV21" s="62"/>
      <c r="AW21" s="62"/>
      <c r="AX21" s="62"/>
      <c r="AY21" s="62"/>
    </row>
    <row r="22" spans="1:51" s="27" customFormat="1" ht="13.8">
      <c r="A22" s="95"/>
      <c r="B22" s="90">
        <v>2025</v>
      </c>
      <c r="C22" s="90">
        <v>2026</v>
      </c>
      <c r="D22" s="90" t="s">
        <v>219</v>
      </c>
      <c r="E22" s="90" t="s">
        <v>220</v>
      </c>
      <c r="F22" s="127"/>
      <c r="G22" s="89"/>
      <c r="H22" s="29"/>
      <c r="I22" s="29"/>
      <c r="J22" s="29"/>
      <c r="K22" s="29"/>
      <c r="L22" s="29"/>
      <c r="M22" s="29"/>
      <c r="N22" s="29"/>
      <c r="O22" s="178"/>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62"/>
      <c r="AP22" s="62"/>
      <c r="AQ22" s="62"/>
      <c r="AR22" s="62"/>
      <c r="AS22" s="62"/>
      <c r="AT22" s="62"/>
      <c r="AU22" s="62"/>
      <c r="AV22" s="62"/>
      <c r="AW22" s="62"/>
      <c r="AX22" s="62"/>
      <c r="AY22" s="62"/>
    </row>
    <row r="23" spans="1:51" s="27" customFormat="1" ht="13.8">
      <c r="A23" s="97" t="s">
        <v>156</v>
      </c>
      <c r="B23" s="99">
        <f ca="1">IF(INDIRECT(ADDRESS(ROW('1'!AK$11),COLUMN('1'!AA10)+ROW(A2)+$B$15,1,1,"1"))="","",INDIRECT(ADDRESS(ROW('1'!AK$11),COLUMN('1'!AA10)+ROW(A1)+$B$15,1,1,"1")))</f>
        <v>37266.269999999786</v>
      </c>
      <c r="C23" s="100">
        <f ca="1">IF(INDIRECT(ADDRESS(ROW('1'!AK$11),COLUMN('1'!AA10)+ROW(A2)+$C$15,1,1,"1"))="","",INDIRECT(ADDRESS(ROW('1'!AK$11),COLUMN('1'!AA10)+ROW(A1)+$C$15,1,1,"1")))</f>
        <v>-21540.934000000358</v>
      </c>
      <c r="D23" s="100">
        <f>'1'!$DA$11*ROW(A1)/12</f>
        <v>-166076.06437223312</v>
      </c>
      <c r="E23" s="100">
        <f>'1'!$DI$11*ROW(A1)/12</f>
        <v>-148873.95444451738</v>
      </c>
      <c r="F23" s="99">
        <f ca="1">IFERROR(C23-E23,"")</f>
        <v>127333.02044451702</v>
      </c>
      <c r="G23" s="89"/>
      <c r="H23" s="29"/>
      <c r="I23" s="29"/>
      <c r="J23" s="29"/>
      <c r="K23" s="29"/>
      <c r="L23" s="29"/>
      <c r="M23" s="29"/>
      <c r="N23" s="29"/>
      <c r="O23" s="178"/>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62"/>
      <c r="AP23" s="62"/>
      <c r="AQ23" s="62"/>
      <c r="AR23" s="62"/>
      <c r="AS23" s="62"/>
      <c r="AT23" s="62"/>
      <c r="AU23" s="62"/>
      <c r="AV23" s="62"/>
      <c r="AW23" s="62"/>
      <c r="AX23" s="62"/>
      <c r="AY23" s="62"/>
    </row>
    <row r="24" spans="1:51" s="27" customFormat="1" ht="13.8">
      <c r="A24" s="97" t="s">
        <v>157</v>
      </c>
      <c r="B24" s="99">
        <f ca="1">IF(INDIRECT(ADDRESS(ROW('1'!AK$11),COLUMN('1'!AA11)+ROW(A3)+$B$15,1,1,"1"))="","",INDIRECT(ADDRESS(ROW('1'!AK$11),COLUMN('1'!AA11)+ROW(A2)+$B$15,1,1,"1")))</f>
        <v>-68091.927000000607</v>
      </c>
      <c r="C24" s="100">
        <f ca="1">IF(INDIRECT(ADDRESS(ROW('1'!AK$11),COLUMN('1'!AA11)+ROW(A3)+$C$15,1,1,"1"))="","",INDIRECT(ADDRESS(ROW('1'!AK$11),COLUMN('1'!AA11)+ROW(A2)+$C$15,1,1,"1")))</f>
        <v>425448.61800000025</v>
      </c>
      <c r="D24" s="100">
        <f>'1'!$DA$11*ROW(A2)/12</f>
        <v>-332152.12874446623</v>
      </c>
      <c r="E24" s="100">
        <f>'1'!$DI$11*ROW(A2)/12</f>
        <v>-297747.90888903476</v>
      </c>
      <c r="F24" s="99">
        <f t="shared" ref="F24:F34" ca="1" si="0">IFERROR(C24-E24,"")</f>
        <v>723196.52688903501</v>
      </c>
      <c r="G24" s="128"/>
      <c r="H24" s="29"/>
      <c r="I24" s="29"/>
      <c r="J24" s="29"/>
      <c r="K24" s="29"/>
      <c r="L24" s="29"/>
      <c r="M24" s="29"/>
      <c r="N24" s="29"/>
      <c r="O24" s="178"/>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62"/>
      <c r="AP24" s="62"/>
      <c r="AQ24" s="62"/>
      <c r="AR24" s="62"/>
      <c r="AS24" s="62"/>
      <c r="AT24" s="62"/>
      <c r="AU24" s="62"/>
      <c r="AV24" s="62"/>
      <c r="AW24" s="62"/>
      <c r="AX24" s="62"/>
      <c r="AY24" s="62"/>
    </row>
    <row r="25" spans="1:51" s="27" customFormat="1" ht="13.8">
      <c r="A25" s="97" t="s">
        <v>158</v>
      </c>
      <c r="B25" s="99">
        <f ca="1">IF(INDIRECT(ADDRESS(ROW('1'!AK$11),COLUMN('1'!AA12)+ROW(A4)+$B$15,1,1,"1"))="","",INDIRECT(ADDRESS(ROW('1'!AK$11),COLUMN('1'!AA12)+ROW(A3)+$B$15,1,1,"1")))</f>
        <v>-521193.81899999967</v>
      </c>
      <c r="C25" s="100">
        <f ca="1">IF(INDIRECT(ADDRESS(ROW('1'!AK$11),COLUMN('1'!AA12)+ROW(A4)+$C$15,1,1,"1"))="","",INDIRECT(ADDRESS(ROW('1'!AK$11),COLUMN('1'!AA12)+ROW(A3)+$C$15,1,1,"1")))</f>
        <v>6527.8149999994785</v>
      </c>
      <c r="D25" s="100">
        <f>'1'!$DA$11*ROW(A3)/12</f>
        <v>-498228.19311669935</v>
      </c>
      <c r="E25" s="100">
        <f>'1'!$DI$11*ROW(A3)/12</f>
        <v>-446621.86333355214</v>
      </c>
      <c r="F25" s="99">
        <f t="shared" ca="1" si="0"/>
        <v>453149.67833355162</v>
      </c>
      <c r="G25" s="128"/>
      <c r="H25" s="29"/>
      <c r="I25" s="29"/>
      <c r="J25" s="29"/>
      <c r="K25" s="29"/>
      <c r="L25" s="29"/>
      <c r="M25" s="29"/>
      <c r="N25" s="29"/>
      <c r="O25" s="178"/>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62"/>
      <c r="AP25" s="62"/>
      <c r="AQ25" s="62"/>
      <c r="AR25" s="62"/>
      <c r="AS25" s="62"/>
      <c r="AT25" s="62"/>
      <c r="AU25" s="62"/>
      <c r="AV25" s="62"/>
      <c r="AW25" s="62"/>
      <c r="AX25" s="62"/>
      <c r="AY25" s="62"/>
    </row>
    <row r="26" spans="1:51" s="27" customFormat="1" ht="13.8">
      <c r="A26" s="97" t="s">
        <v>159</v>
      </c>
      <c r="B26" s="99">
        <f ca="1">IF(INDIRECT(ADDRESS(ROW('1'!AK$11),COLUMN('1'!AA13)+ROW(A5)+$B$15,1,1,"1"))="","",INDIRECT(ADDRESS(ROW('1'!AK$11),COLUMN('1'!AA13)+ROW(A4)+$B$15,1,1,"1")))</f>
        <v>-777461.0130000012</v>
      </c>
      <c r="C26" s="100">
        <f ca="1">IF(INDIRECT(ADDRESS(ROW('1'!AK$11),COLUMN('1'!AA13)+ROW(A5)+$C$15,1,1,"1"))="","",INDIRECT(ADDRESS(ROW('1'!AK$11),COLUMN('1'!AA13)+ROW(A4)+$C$15,1,1,"1")))</f>
        <v>-137458.6129999999</v>
      </c>
      <c r="D26" s="100">
        <f>'1'!$DA$11*ROW(A4)/12</f>
        <v>-664304.25748893246</v>
      </c>
      <c r="E26" s="100">
        <f>'1'!$DI$11*ROW(A4)/12</f>
        <v>-595495.81777806953</v>
      </c>
      <c r="F26" s="99">
        <f t="shared" ca="1" si="0"/>
        <v>458037.20477806963</v>
      </c>
      <c r="G26" s="89"/>
      <c r="H26" s="29"/>
      <c r="I26" s="29"/>
      <c r="J26" s="29"/>
      <c r="K26" s="29"/>
      <c r="L26" s="29"/>
      <c r="M26" s="29"/>
      <c r="N26" s="29"/>
      <c r="O26" s="178"/>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62"/>
      <c r="AP26" s="62"/>
      <c r="AQ26" s="62"/>
      <c r="AR26" s="62"/>
      <c r="AS26" s="62"/>
      <c r="AT26" s="62"/>
      <c r="AU26" s="62"/>
      <c r="AV26" s="62"/>
      <c r="AW26" s="62"/>
      <c r="AX26" s="62"/>
      <c r="AY26" s="62"/>
    </row>
    <row r="27" spans="1:51" s="27" customFormat="1" ht="13.8">
      <c r="A27" s="97" t="s">
        <v>160</v>
      </c>
      <c r="B27" s="99">
        <f ca="1">IF(INDIRECT(ADDRESS(ROW('1'!AK$11),COLUMN('1'!AA14)+ROW(A6)+$B$15,1,1,"1"))="","",INDIRECT(ADDRESS(ROW('1'!AK$11),COLUMN('1'!AA14)+ROW(A5)+$B$15,1,1,"1")))</f>
        <v>-419815.81400000118</v>
      </c>
      <c r="C27" s="100">
        <f ca="1">IF(INDIRECT(ADDRESS(ROW('1'!AK$11),COLUMN('1'!AA14)+ROW(A6)+$C$15,1,1,"1"))="","",INDIRECT(ADDRESS(ROW('1'!AK$11),COLUMN('1'!AA14)+ROW(A5)+$C$15,1,1,"1")))</f>
        <v>199841.31300000008</v>
      </c>
      <c r="D27" s="100">
        <f>'1'!$DA$11*ROW(A5)/12</f>
        <v>-830380.32186116558</v>
      </c>
      <c r="E27" s="100">
        <f>'1'!$DI$11*ROW(A5)/12</f>
        <v>-744369.77222258691</v>
      </c>
      <c r="F27" s="99">
        <f t="shared" ca="1" si="0"/>
        <v>944211.08522258699</v>
      </c>
      <c r="G27" s="123"/>
      <c r="H27" s="29"/>
      <c r="I27" s="29"/>
      <c r="J27" s="29"/>
      <c r="K27" s="29"/>
      <c r="L27" s="29"/>
      <c r="M27" s="29"/>
      <c r="N27" s="29"/>
      <c r="O27" s="178"/>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62"/>
      <c r="AP27" s="62"/>
      <c r="AQ27" s="62"/>
      <c r="AR27" s="62"/>
      <c r="AS27" s="62"/>
      <c r="AT27" s="62"/>
      <c r="AU27" s="62"/>
      <c r="AV27" s="62"/>
      <c r="AW27" s="62"/>
      <c r="AX27" s="62"/>
      <c r="AY27" s="62"/>
    </row>
    <row r="28" spans="1:51" s="27" customFormat="1" ht="13.8">
      <c r="A28" s="97" t="s">
        <v>161</v>
      </c>
      <c r="B28" s="99">
        <f ca="1">IF(INDIRECT(ADDRESS(ROW('1'!AK$11),COLUMN('1'!AA15)+ROW(A7)+$B$15,1,1,"1"))="","",INDIRECT(ADDRESS(ROW('1'!AK$11),COLUMN('1'!AA15)+ROW(A6)+$B$15,1,1,"1")))</f>
        <v>-253054.98100000247</v>
      </c>
      <c r="C28" s="100">
        <f ca="1">IF(INDIRECT(ADDRESS(ROW('1'!AK$11),COLUMN('1'!AA15)+ROW(A7)+$C$15,1,1,"1"))="","",INDIRECT(ADDRESS(ROW('1'!AK$11),COLUMN('1'!AA15)+ROW(A6)+$C$15,1,1,"1")))</f>
        <v>272066.80799999833</v>
      </c>
      <c r="D28" s="100">
        <f>'1'!$DA$11*ROW(A6)/12</f>
        <v>-996456.38623339869</v>
      </c>
      <c r="E28" s="100">
        <f>'1'!$DI$11*ROW(A6)/12</f>
        <v>-893243.72666710429</v>
      </c>
      <c r="F28" s="99">
        <f t="shared" ca="1" si="0"/>
        <v>1165310.5346671026</v>
      </c>
      <c r="G28" s="124"/>
      <c r="H28" s="29"/>
      <c r="I28" s="29"/>
      <c r="J28" s="29"/>
      <c r="K28" s="29"/>
      <c r="L28" s="29"/>
      <c r="M28" s="29"/>
      <c r="N28" s="29"/>
      <c r="O28" s="178"/>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62"/>
      <c r="AP28" s="62"/>
      <c r="AQ28" s="62"/>
      <c r="AR28" s="62"/>
      <c r="AS28" s="62"/>
      <c r="AT28" s="62"/>
      <c r="AU28" s="62"/>
      <c r="AV28" s="62"/>
      <c r="AW28" s="62"/>
      <c r="AX28" s="62"/>
      <c r="AY28" s="62"/>
    </row>
    <row r="29" spans="1:51" s="27" customFormat="1" ht="13.8">
      <c r="A29" s="97" t="s">
        <v>162</v>
      </c>
      <c r="B29" s="99">
        <f ca="1">IF(INDIRECT(ADDRESS(ROW('1'!AK$11),COLUMN('1'!AA16)+ROW(A8)+$B$15,1,1,"1"))="","",INDIRECT(ADDRESS(ROW('1'!AK$11),COLUMN('1'!AA16)+ROW(A7)+$B$15,1,1,"1")))</f>
        <v>-419939.14099999703</v>
      </c>
      <c r="C29" s="100">
        <f ca="1">IF(INDIRECT(ADDRESS(ROW('1'!AK$11),COLUMN('1'!AA16)+ROW(A8)+$C$15,1,1,"1"))="","",INDIRECT(ADDRESS(ROW('1'!AK$11),COLUMN('1'!AA16)+ROW(A7)+$C$15,1,1,"1")))</f>
        <v>51063.656000001356</v>
      </c>
      <c r="D29" s="100">
        <f>'1'!$DA$11*ROW(A7)/12</f>
        <v>-1162532.4506056318</v>
      </c>
      <c r="E29" s="100">
        <f>'1'!$DI$11*ROW(A7)/12</f>
        <v>-1042117.6811116217</v>
      </c>
      <c r="F29" s="99">
        <f t="shared" ca="1" si="0"/>
        <v>1093181.337111623</v>
      </c>
      <c r="G29" s="124"/>
      <c r="H29" s="29"/>
      <c r="I29" s="29"/>
      <c r="J29" s="29"/>
      <c r="K29" s="29"/>
      <c r="L29" s="29"/>
      <c r="M29" s="29"/>
      <c r="N29" s="29"/>
      <c r="O29" s="178"/>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62"/>
      <c r="AP29" s="62"/>
      <c r="AQ29" s="62"/>
      <c r="AR29" s="62"/>
      <c r="AS29" s="62"/>
      <c r="AT29" s="62"/>
      <c r="AU29" s="62"/>
      <c r="AV29" s="62"/>
      <c r="AW29" s="62"/>
      <c r="AX29" s="62"/>
      <c r="AY29" s="62"/>
    </row>
    <row r="30" spans="1:51" s="27" customFormat="1" ht="13.8">
      <c r="A30" s="97" t="s">
        <v>163</v>
      </c>
      <c r="B30" s="99">
        <f ca="1">IF(INDIRECT(ADDRESS(ROW('1'!AK$11),COLUMN('1'!AA17)+ROW(A9)+$B$15,1,1,"1"))="","",INDIRECT(ADDRESS(ROW('1'!AK$11),COLUMN('1'!AA17)+ROW(A8)+$B$15,1,1,"1")))</f>
        <v>-257009.41000000015</v>
      </c>
      <c r="C30" s="100" t="str">
        <f ca="1">IF(INDIRECT(ADDRESS(ROW('1'!AK$11),COLUMN('1'!AA17)+ROW(A9)+$C$15,1,1,"1"))="","",INDIRECT(ADDRESS(ROW('1'!AK$11),COLUMN('1'!AA17)+ROW(A8)+$C$15,1,1,"1")))</f>
        <v/>
      </c>
      <c r="D30" s="100">
        <f>'1'!$DA$11*ROW(A8)/12</f>
        <v>-1328608.5149778649</v>
      </c>
      <c r="E30" s="100">
        <f>'1'!$DI$11*ROW(A8)/12</f>
        <v>-1190991.6355561391</v>
      </c>
      <c r="F30" s="99" t="str">
        <f t="shared" ca="1" si="0"/>
        <v/>
      </c>
      <c r="G30" s="89"/>
      <c r="H30" s="29"/>
      <c r="I30" s="29"/>
      <c r="J30" s="29"/>
      <c r="K30" s="29"/>
      <c r="L30" s="29"/>
      <c r="M30" s="29"/>
      <c r="N30" s="29"/>
      <c r="O30" s="178"/>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62"/>
      <c r="AP30" s="62"/>
      <c r="AQ30" s="62"/>
      <c r="AR30" s="62"/>
      <c r="AS30" s="62"/>
      <c r="AT30" s="62"/>
      <c r="AU30" s="62"/>
      <c r="AV30" s="62"/>
      <c r="AW30" s="62"/>
      <c r="AX30" s="62"/>
      <c r="AY30" s="62"/>
    </row>
    <row r="31" spans="1:51" s="27" customFormat="1" ht="13.8">
      <c r="A31" s="97" t="s">
        <v>164</v>
      </c>
      <c r="B31" s="99">
        <f ca="1">IF(INDIRECT(ADDRESS(ROW('1'!AK$11),COLUMN('1'!AA18)+ROW(A10)+$B$15,1,1,"1"))="","",INDIRECT(ADDRESS(ROW('1'!AK$11),COLUMN('1'!AA18)+ROW(A9)+$B$15,1,1,"1")))</f>
        <v>-502206.53299999982</v>
      </c>
      <c r="C31" s="100" t="str">
        <f ca="1">IF(INDIRECT(ADDRESS(ROW('1'!AK$11),COLUMN('1'!AA18)+ROW(A10)+$C$15,1,1,"1"))="","",INDIRECT(ADDRESS(ROW('1'!AK$11),COLUMN('1'!AA18)+ROW(A9)+$C$15,1,1,"1")))</f>
        <v/>
      </c>
      <c r="D31" s="100">
        <f>'1'!$DA$11*ROW(A9)/12</f>
        <v>-1494684.579350098</v>
      </c>
      <c r="E31" s="100">
        <f>'1'!$DI$11*ROW(A9)/12</f>
        <v>-1339865.5900006564</v>
      </c>
      <c r="F31" s="99" t="str">
        <f t="shared" ca="1" si="0"/>
        <v/>
      </c>
      <c r="G31" s="89"/>
      <c r="H31" s="29"/>
      <c r="I31" s="29"/>
      <c r="J31" s="29"/>
      <c r="K31" s="29"/>
      <c r="L31" s="29"/>
      <c r="M31" s="29"/>
      <c r="N31" s="29"/>
      <c r="O31" s="178"/>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62"/>
      <c r="AP31" s="62"/>
      <c r="AQ31" s="62"/>
      <c r="AR31" s="62"/>
      <c r="AS31" s="62"/>
      <c r="AT31" s="62"/>
      <c r="AU31" s="62"/>
      <c r="AV31" s="62"/>
      <c r="AW31" s="62"/>
      <c r="AX31" s="62"/>
      <c r="AY31" s="62"/>
    </row>
    <row r="32" spans="1:51" s="27" customFormat="1" ht="13.8">
      <c r="A32" s="97" t="s">
        <v>165</v>
      </c>
      <c r="B32" s="99">
        <f ca="1">IF(INDIRECT(ADDRESS(ROW('1'!AK$11),COLUMN('1'!AA19)+ROW(A11)+$B$15,1,1,"1"))="","",INDIRECT(ADDRESS(ROW('1'!AK$11),COLUMN('1'!AA19)+ROW(A10)+$B$15,1,1,"1")))</f>
        <v>-810637.4140000008</v>
      </c>
      <c r="C32" s="100" t="str">
        <f ca="1">IF(INDIRECT(ADDRESS(ROW('1'!AK$11),COLUMN('1'!AA19)+ROW(A11)+$C$15,1,1,"1"))="","",INDIRECT(ADDRESS(ROW('1'!AK$11),COLUMN('1'!AA19)+ROW(A10)+$C$15,1,1,"1")))</f>
        <v/>
      </c>
      <c r="D32" s="100">
        <f>'1'!$DA$11*ROW(A10)/12</f>
        <v>-1660760.6437223312</v>
      </c>
      <c r="E32" s="100">
        <f>'1'!$DI$11*ROW(A10)/12</f>
        <v>-1488739.5444451738</v>
      </c>
      <c r="F32" s="99" t="str">
        <f t="shared" ca="1" si="0"/>
        <v/>
      </c>
      <c r="G32" s="89"/>
      <c r="H32" s="29"/>
      <c r="I32" s="29"/>
      <c r="J32" s="29"/>
      <c r="K32" s="29"/>
      <c r="L32" s="29"/>
      <c r="M32" s="29"/>
      <c r="N32" s="29"/>
      <c r="O32" s="178"/>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62"/>
      <c r="AP32" s="62"/>
      <c r="AQ32" s="62"/>
      <c r="AR32" s="62"/>
      <c r="AS32" s="62"/>
      <c r="AT32" s="62"/>
      <c r="AU32" s="62"/>
      <c r="AV32" s="62"/>
      <c r="AW32" s="62"/>
      <c r="AX32" s="62"/>
      <c r="AY32" s="62"/>
    </row>
    <row r="33" spans="1:51" s="27" customFormat="1" ht="13.8">
      <c r="A33" s="97" t="s">
        <v>166</v>
      </c>
      <c r="B33" s="99">
        <f ca="1">IF(INDIRECT(ADDRESS(ROW('1'!AK$11),COLUMN('1'!AA20)+ROW(A12)+$B$15,1,1,"1"))="","",INDIRECT(ADDRESS(ROW('1'!AK$11),COLUMN('1'!AA20)+ROW(A11)+$B$15,1,1,"1")))</f>
        <v>-1032419.9930000007</v>
      </c>
      <c r="C33" s="100" t="str">
        <f ca="1">IF(INDIRECT(ADDRESS(ROW('1'!AK$11),COLUMN('1'!AA20)+ROW(A12)+$C$15,1,1,"1"))="","",INDIRECT(ADDRESS(ROW('1'!AK$11),COLUMN('1'!AA20)+ROW(A11)+$C$15,1,1,"1")))</f>
        <v/>
      </c>
      <c r="D33" s="100">
        <f>'1'!$DA$11*ROW(A11)/12</f>
        <v>-1826836.7080945643</v>
      </c>
      <c r="E33" s="100">
        <f>'1'!$DI$11*ROW(A11)/12</f>
        <v>-1637613.4988896912</v>
      </c>
      <c r="F33" s="99" t="str">
        <f t="shared" ca="1" si="0"/>
        <v/>
      </c>
      <c r="G33" s="89"/>
      <c r="H33" s="29"/>
      <c r="I33" s="29"/>
      <c r="J33" s="29"/>
      <c r="K33" s="29"/>
      <c r="L33" s="29"/>
      <c r="M33" s="29"/>
      <c r="N33" s="29"/>
      <c r="O33" s="178"/>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62"/>
      <c r="AP33" s="62"/>
      <c r="AQ33" s="62"/>
      <c r="AR33" s="62"/>
      <c r="AS33" s="62"/>
      <c r="AT33" s="62"/>
      <c r="AU33" s="62"/>
      <c r="AV33" s="62"/>
      <c r="AW33" s="62"/>
      <c r="AX33" s="62"/>
      <c r="AY33" s="62"/>
    </row>
    <row r="34" spans="1:51" s="27" customFormat="1" ht="13.8">
      <c r="A34" s="97" t="s">
        <v>167</v>
      </c>
      <c r="B34" s="99">
        <f ca="1">IF(INDIRECT(ADDRESS(ROW('1'!AK$11),COLUMN('1'!AA21)+ROW(A13)+$B$15,1,1,"1"))="","",INDIRECT(ADDRESS(ROW('1'!AK$11),COLUMN('1'!AA21)+ROW(A12)+$B$15,1,1,"1")))</f>
        <v>-1740696.8379999958</v>
      </c>
      <c r="C34" s="100" t="str">
        <f ca="1">IF(INDIRECT(ADDRESS(ROW('1'!AK$11),COLUMN('1'!AA21)+ROW(A13)+$C$15,1,1,"1"))="","",INDIRECT(ADDRESS(ROW('1'!AK$11),COLUMN('1'!AA21)+ROW(A12)+$C$15,1,1,"1")))</f>
        <v/>
      </c>
      <c r="D34" s="100">
        <f>'1'!$DA$11*ROW(A12)/12</f>
        <v>-1992912.7724667974</v>
      </c>
      <c r="E34" s="100">
        <f>'1'!$DI$11*ROW(A12)/12</f>
        <v>-1786487.4533342086</v>
      </c>
      <c r="F34" s="99" t="str">
        <f t="shared" ca="1" si="0"/>
        <v/>
      </c>
      <c r="G34" s="89"/>
      <c r="H34" s="284"/>
      <c r="I34" s="29"/>
      <c r="J34" s="29"/>
      <c r="K34" s="29"/>
      <c r="L34" s="29"/>
      <c r="M34" s="29"/>
      <c r="N34" s="29"/>
      <c r="O34" s="178"/>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62"/>
      <c r="AP34" s="62"/>
      <c r="AQ34" s="62"/>
      <c r="AR34" s="62"/>
      <c r="AS34" s="62"/>
      <c r="AT34" s="62"/>
      <c r="AU34" s="62"/>
      <c r="AV34" s="62"/>
      <c r="AW34" s="62"/>
      <c r="AX34" s="62"/>
      <c r="AY34" s="62"/>
    </row>
    <row r="35" spans="1:51" s="27" customFormat="1" ht="13.8">
      <c r="A35" s="89"/>
      <c r="B35" s="89"/>
      <c r="C35" s="89"/>
      <c r="D35" s="89"/>
      <c r="E35" s="89"/>
      <c r="F35" s="89"/>
      <c r="G35" s="89"/>
      <c r="H35" s="29"/>
      <c r="I35" s="29"/>
      <c r="J35" s="29"/>
      <c r="K35" s="29"/>
      <c r="L35" s="29"/>
      <c r="M35" s="29"/>
      <c r="N35" s="29"/>
      <c r="O35" s="178"/>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62"/>
      <c r="AP35" s="62"/>
      <c r="AQ35" s="62"/>
      <c r="AR35" s="62"/>
      <c r="AS35" s="62"/>
      <c r="AT35" s="62"/>
      <c r="AU35" s="62"/>
      <c r="AV35" s="62"/>
      <c r="AW35" s="62"/>
      <c r="AX35" s="62"/>
      <c r="AY35" s="62"/>
    </row>
    <row r="36" spans="1:51" s="27" customFormat="1" ht="13.8">
      <c r="A36" s="89"/>
      <c r="B36" s="89"/>
      <c r="C36" s="89"/>
      <c r="D36" s="89"/>
      <c r="E36" s="89"/>
      <c r="F36" s="89"/>
      <c r="G36" s="89"/>
      <c r="H36" s="29"/>
      <c r="I36" s="29"/>
      <c r="J36" s="29"/>
      <c r="K36" s="29"/>
      <c r="L36" s="29"/>
      <c r="M36" s="29"/>
      <c r="N36" s="29"/>
      <c r="O36" s="178"/>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62"/>
      <c r="AP36" s="62"/>
      <c r="AQ36" s="62"/>
      <c r="AR36" s="62"/>
      <c r="AS36" s="62"/>
      <c r="AT36" s="62"/>
      <c r="AU36" s="62"/>
      <c r="AV36" s="62"/>
      <c r="AW36" s="62"/>
      <c r="AX36" s="62"/>
      <c r="AY36" s="62"/>
    </row>
    <row r="37" spans="1:51" s="27" customFormat="1" ht="13.8">
      <c r="A37" s="89"/>
      <c r="B37" s="89"/>
      <c r="C37" s="89"/>
      <c r="D37" s="89"/>
      <c r="E37" s="89"/>
      <c r="F37" s="89"/>
      <c r="G37" s="89"/>
      <c r="H37" s="29"/>
      <c r="I37" s="29"/>
      <c r="J37" s="29"/>
      <c r="K37" s="29"/>
      <c r="L37" s="29"/>
      <c r="M37" s="29"/>
      <c r="N37" s="29"/>
      <c r="O37" s="178"/>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62"/>
      <c r="AP37" s="62"/>
      <c r="AQ37" s="62"/>
      <c r="AR37" s="62"/>
      <c r="AS37" s="62"/>
      <c r="AT37" s="62"/>
      <c r="AU37" s="62"/>
      <c r="AV37" s="62"/>
      <c r="AW37" s="62"/>
      <c r="AX37" s="62"/>
      <c r="AY37" s="62"/>
    </row>
    <row r="38" spans="1:51" s="27" customFormat="1" ht="13.8">
      <c r="A38" s="89"/>
      <c r="B38" s="89"/>
      <c r="C38" s="89"/>
      <c r="D38" s="89"/>
      <c r="E38" s="89"/>
      <c r="F38" s="89"/>
      <c r="G38" s="89"/>
      <c r="H38" s="29"/>
      <c r="I38" s="29"/>
      <c r="J38" s="29"/>
      <c r="K38" s="29"/>
      <c r="L38" s="29"/>
      <c r="M38" s="29"/>
      <c r="N38" s="29"/>
      <c r="O38" s="178"/>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62"/>
      <c r="AP38" s="62"/>
      <c r="AQ38" s="62"/>
      <c r="AR38" s="62"/>
      <c r="AS38" s="62"/>
      <c r="AT38" s="62"/>
      <c r="AU38" s="62"/>
      <c r="AV38" s="62"/>
      <c r="AW38" s="62"/>
      <c r="AX38" s="62"/>
      <c r="AY38" s="62"/>
    </row>
    <row r="39" spans="1:51" s="27" customFormat="1" ht="13.8">
      <c r="A39" s="89"/>
      <c r="B39" s="89"/>
      <c r="C39" s="89"/>
      <c r="D39" s="89"/>
      <c r="E39" s="89"/>
      <c r="F39" s="89"/>
      <c r="G39" s="89"/>
      <c r="H39" s="29"/>
      <c r="I39" s="29"/>
      <c r="J39" s="29"/>
      <c r="K39" s="29"/>
      <c r="L39" s="29"/>
      <c r="M39" s="29"/>
      <c r="N39" s="29"/>
      <c r="O39" s="178"/>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62"/>
      <c r="AP39" s="62"/>
      <c r="AQ39" s="62"/>
      <c r="AR39" s="62"/>
      <c r="AS39" s="62"/>
      <c r="AT39" s="62"/>
      <c r="AU39" s="62"/>
      <c r="AV39" s="62"/>
      <c r="AW39" s="62"/>
      <c r="AX39" s="62"/>
      <c r="AY39" s="62"/>
    </row>
    <row r="40" spans="1:51" s="27" customFormat="1" ht="13.8">
      <c r="A40" s="89"/>
      <c r="B40" s="89"/>
      <c r="C40" s="89"/>
      <c r="D40" s="89"/>
      <c r="E40" s="89"/>
      <c r="F40" s="89"/>
      <c r="G40" s="89"/>
      <c r="H40" s="29"/>
      <c r="I40" s="29"/>
      <c r="J40" s="29"/>
      <c r="K40" s="29"/>
      <c r="L40" s="29"/>
      <c r="M40" s="29"/>
      <c r="N40" s="29"/>
      <c r="O40" s="178"/>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62"/>
      <c r="AP40" s="62"/>
      <c r="AQ40" s="62"/>
      <c r="AR40" s="62"/>
      <c r="AS40" s="62"/>
      <c r="AT40" s="62"/>
      <c r="AU40" s="62"/>
      <c r="AV40" s="62"/>
      <c r="AW40" s="62"/>
      <c r="AX40" s="62"/>
      <c r="AY40" s="62"/>
    </row>
    <row r="41" spans="1:51" s="27" customFormat="1" ht="13.8">
      <c r="A41" s="89"/>
      <c r="B41" s="89"/>
      <c r="C41" s="89"/>
      <c r="D41" s="89"/>
      <c r="E41" s="89"/>
      <c r="F41" s="89"/>
      <c r="G41" s="89"/>
      <c r="H41" s="29"/>
      <c r="I41" s="29"/>
      <c r="J41" s="29"/>
      <c r="K41" s="29"/>
      <c r="L41" s="29"/>
      <c r="M41" s="29"/>
      <c r="N41" s="29"/>
      <c r="O41" s="178"/>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62"/>
      <c r="AP41" s="62"/>
      <c r="AQ41" s="62"/>
      <c r="AR41" s="62"/>
      <c r="AS41" s="62"/>
      <c r="AT41" s="62"/>
      <c r="AU41" s="62"/>
      <c r="AV41" s="62"/>
      <c r="AW41" s="62"/>
      <c r="AX41" s="62"/>
      <c r="AY41" s="62"/>
    </row>
    <row r="42" spans="1:51" s="27" customFormat="1" ht="13.8">
      <c r="A42" s="89"/>
      <c r="B42" s="89"/>
      <c r="C42" s="89"/>
      <c r="D42" s="89"/>
      <c r="E42" s="89"/>
      <c r="F42" s="89"/>
      <c r="G42" s="89"/>
      <c r="H42" s="29"/>
      <c r="I42" s="29"/>
      <c r="J42" s="29"/>
      <c r="K42" s="29"/>
      <c r="L42" s="29"/>
      <c r="M42" s="29"/>
      <c r="N42" s="29"/>
      <c r="O42" s="178"/>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62"/>
      <c r="AP42" s="62"/>
      <c r="AQ42" s="62"/>
      <c r="AR42" s="62"/>
      <c r="AS42" s="62"/>
      <c r="AT42" s="62"/>
      <c r="AU42" s="62"/>
      <c r="AV42" s="62"/>
      <c r="AW42" s="62"/>
      <c r="AX42" s="62"/>
      <c r="AY42" s="62"/>
    </row>
    <row r="43" spans="1:51" s="27" customFormat="1" ht="13.8">
      <c r="A43" s="89"/>
      <c r="B43" s="89"/>
      <c r="C43" s="89"/>
      <c r="D43" s="89"/>
      <c r="E43" s="89"/>
      <c r="F43" s="89"/>
      <c r="G43" s="89"/>
      <c r="H43" s="29"/>
      <c r="I43" s="29"/>
      <c r="J43" s="29"/>
      <c r="K43" s="29"/>
      <c r="L43" s="29"/>
      <c r="M43" s="29"/>
      <c r="N43" s="29"/>
      <c r="O43" s="178"/>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62"/>
      <c r="AP43" s="62"/>
      <c r="AQ43" s="62"/>
      <c r="AR43" s="62"/>
      <c r="AS43" s="62"/>
      <c r="AT43" s="62"/>
      <c r="AU43" s="62"/>
      <c r="AV43" s="62"/>
      <c r="AW43" s="62"/>
      <c r="AX43" s="62"/>
      <c r="AY43" s="62"/>
    </row>
    <row r="44" spans="1:51" s="27" customFormat="1" ht="13.8">
      <c r="A44" s="89"/>
      <c r="B44" s="89"/>
      <c r="C44" s="89"/>
      <c r="D44" s="89"/>
      <c r="E44" s="89"/>
      <c r="F44" s="89"/>
      <c r="G44" s="89"/>
      <c r="H44" s="29"/>
      <c r="I44" s="29"/>
      <c r="J44" s="29"/>
      <c r="K44" s="29"/>
      <c r="L44" s="29"/>
      <c r="M44" s="29"/>
      <c r="N44" s="29"/>
      <c r="O44" s="178"/>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62"/>
      <c r="AP44" s="62"/>
      <c r="AQ44" s="62"/>
      <c r="AR44" s="62"/>
      <c r="AS44" s="62"/>
      <c r="AT44" s="62"/>
      <c r="AU44" s="62"/>
      <c r="AV44" s="62"/>
      <c r="AW44" s="62"/>
      <c r="AX44" s="62"/>
      <c r="AY44" s="62"/>
    </row>
    <row r="45" spans="1:51" s="27" customFormat="1" ht="13.8">
      <c r="A45" s="89"/>
      <c r="B45" s="89"/>
      <c r="C45" s="89"/>
      <c r="D45" s="89"/>
      <c r="E45" s="89"/>
      <c r="F45" s="89"/>
      <c r="G45" s="89"/>
      <c r="H45" s="29"/>
      <c r="I45" s="29"/>
      <c r="J45" s="29"/>
      <c r="K45" s="29"/>
      <c r="L45" s="29"/>
      <c r="M45" s="29"/>
      <c r="N45" s="29"/>
      <c r="O45" s="178"/>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62"/>
      <c r="AP45" s="62"/>
      <c r="AQ45" s="62"/>
      <c r="AR45" s="62"/>
      <c r="AS45" s="62"/>
      <c r="AT45" s="62"/>
      <c r="AU45" s="62"/>
      <c r="AV45" s="62"/>
      <c r="AW45" s="62"/>
      <c r="AX45" s="62"/>
      <c r="AY45" s="62"/>
    </row>
    <row r="46" spans="1:51" s="27" customFormat="1" ht="13.8">
      <c r="A46" s="89"/>
      <c r="B46" s="89"/>
      <c r="C46" s="89"/>
      <c r="D46" s="89"/>
      <c r="E46" s="89"/>
      <c r="F46" s="89"/>
      <c r="G46" s="89"/>
      <c r="H46" s="29"/>
      <c r="I46" s="29"/>
      <c r="J46" s="29"/>
      <c r="K46" s="29"/>
      <c r="L46" s="29"/>
      <c r="M46" s="29"/>
      <c r="N46" s="29"/>
      <c r="O46" s="178"/>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62"/>
      <c r="AP46" s="62"/>
      <c r="AQ46" s="62"/>
      <c r="AR46" s="62"/>
      <c r="AS46" s="62"/>
      <c r="AT46" s="62"/>
      <c r="AU46" s="62"/>
      <c r="AV46" s="62"/>
      <c r="AW46" s="62"/>
      <c r="AX46" s="62"/>
      <c r="AY46" s="62"/>
    </row>
    <row r="47" spans="1:51" s="27" customFormat="1" ht="13.8">
      <c r="A47" s="89"/>
      <c r="B47" s="89"/>
      <c r="C47" s="89"/>
      <c r="D47" s="89"/>
      <c r="E47" s="89"/>
      <c r="F47" s="89"/>
      <c r="G47" s="89"/>
      <c r="H47" s="29"/>
      <c r="I47" s="29"/>
      <c r="J47" s="29"/>
      <c r="K47" s="29"/>
      <c r="L47" s="29"/>
      <c r="M47" s="29"/>
      <c r="N47" s="29"/>
      <c r="O47" s="178"/>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62"/>
      <c r="AP47" s="62"/>
      <c r="AQ47" s="62"/>
      <c r="AR47" s="62"/>
      <c r="AS47" s="62"/>
      <c r="AT47" s="62"/>
      <c r="AU47" s="62"/>
      <c r="AV47" s="62"/>
      <c r="AW47" s="62"/>
      <c r="AX47" s="62"/>
      <c r="AY47" s="62"/>
    </row>
    <row r="48" spans="1:51" s="27" customFormat="1" ht="13.8">
      <c r="A48" s="89"/>
      <c r="B48" s="89"/>
      <c r="C48" s="89"/>
      <c r="D48" s="89"/>
      <c r="E48" s="89"/>
      <c r="F48" s="89"/>
      <c r="G48" s="89"/>
      <c r="H48" s="29"/>
      <c r="I48" s="29"/>
      <c r="J48" s="29"/>
      <c r="K48" s="29"/>
      <c r="L48" s="29"/>
      <c r="M48" s="29"/>
      <c r="N48" s="29"/>
      <c r="O48" s="178"/>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62"/>
      <c r="AP48" s="62"/>
      <c r="AQ48" s="62"/>
      <c r="AR48" s="62"/>
      <c r="AS48" s="62"/>
      <c r="AT48" s="62"/>
      <c r="AU48" s="62"/>
      <c r="AV48" s="62"/>
      <c r="AW48" s="62"/>
      <c r="AX48" s="62"/>
      <c r="AY48" s="62"/>
    </row>
    <row r="49" spans="1:51" s="27" customFormat="1" ht="16.5" customHeight="1">
      <c r="A49" s="89"/>
      <c r="B49" s="89"/>
      <c r="C49" s="89"/>
      <c r="D49" s="89"/>
      <c r="E49" s="89"/>
      <c r="F49" s="89"/>
      <c r="G49" s="89"/>
      <c r="H49" s="29"/>
      <c r="I49" s="29"/>
      <c r="J49" s="29"/>
      <c r="K49" s="29"/>
      <c r="L49" s="29"/>
      <c r="M49" s="29"/>
      <c r="N49" s="29"/>
      <c r="O49" s="178"/>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62"/>
      <c r="AP49" s="62"/>
      <c r="AQ49" s="62"/>
      <c r="AR49" s="62"/>
      <c r="AS49" s="62"/>
      <c r="AT49" s="62"/>
      <c r="AU49" s="62"/>
      <c r="AV49" s="62"/>
      <c r="AW49" s="62"/>
      <c r="AX49" s="62"/>
      <c r="AY49" s="62"/>
    </row>
    <row r="50" spans="1:51" s="27" customFormat="1" ht="13.8">
      <c r="A50" s="89"/>
      <c r="B50" s="89"/>
      <c r="C50" s="89"/>
      <c r="D50" s="89"/>
      <c r="E50" s="89"/>
      <c r="F50" s="89"/>
      <c r="G50" s="89"/>
      <c r="H50" s="29"/>
      <c r="I50" s="29"/>
      <c r="J50" s="29"/>
      <c r="K50" s="29"/>
      <c r="L50" s="29"/>
      <c r="M50" s="29"/>
      <c r="N50" s="29"/>
      <c r="O50" s="178"/>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62"/>
      <c r="AP50" s="62"/>
      <c r="AQ50" s="62"/>
      <c r="AR50" s="62"/>
      <c r="AS50" s="62"/>
      <c r="AT50" s="62"/>
      <c r="AU50" s="62"/>
      <c r="AV50" s="62"/>
      <c r="AW50" s="62"/>
      <c r="AX50" s="62"/>
      <c r="AY50" s="62"/>
    </row>
    <row r="51" spans="1:51" s="27" customFormat="1" ht="13.8">
      <c r="A51" s="89"/>
      <c r="B51" s="89"/>
      <c r="C51" s="89"/>
      <c r="D51" s="89"/>
      <c r="E51" s="89"/>
      <c r="F51" s="89"/>
      <c r="G51" s="89"/>
      <c r="H51" s="29"/>
      <c r="I51" s="29"/>
      <c r="J51" s="29"/>
      <c r="K51" s="29"/>
      <c r="L51" s="29"/>
      <c r="M51" s="29"/>
      <c r="N51" s="29"/>
      <c r="O51" s="178"/>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62"/>
      <c r="AP51" s="62"/>
      <c r="AQ51" s="62"/>
      <c r="AR51" s="62"/>
      <c r="AS51" s="62"/>
      <c r="AT51" s="62"/>
      <c r="AU51" s="62"/>
      <c r="AV51" s="62"/>
      <c r="AW51" s="62"/>
      <c r="AX51" s="62"/>
      <c r="AY51" s="62"/>
    </row>
    <row r="52" spans="1:51" s="27" customFormat="1" ht="13.8">
      <c r="A52" s="89"/>
      <c r="B52" s="89"/>
      <c r="C52" s="89"/>
      <c r="D52" s="89"/>
      <c r="E52" s="89"/>
      <c r="F52" s="89"/>
      <c r="G52" s="89"/>
      <c r="H52" s="29"/>
      <c r="I52" s="29"/>
      <c r="J52" s="29"/>
      <c r="K52" s="29"/>
      <c r="L52" s="29"/>
      <c r="M52" s="29"/>
      <c r="N52" s="29"/>
      <c r="O52" s="178"/>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62"/>
      <c r="AP52" s="62"/>
      <c r="AQ52" s="62"/>
      <c r="AR52" s="62"/>
      <c r="AS52" s="62"/>
      <c r="AT52" s="62"/>
      <c r="AU52" s="62"/>
      <c r="AV52" s="62"/>
      <c r="AW52" s="62"/>
      <c r="AX52" s="62"/>
      <c r="AY52" s="62"/>
    </row>
    <row r="53" spans="1:51" s="27" customFormat="1" ht="13.8">
      <c r="A53" s="89"/>
      <c r="B53" s="89"/>
      <c r="C53" s="89"/>
      <c r="D53" s="89"/>
      <c r="E53" s="89"/>
      <c r="F53" s="89"/>
      <c r="G53" s="89"/>
      <c r="H53" s="29"/>
      <c r="I53" s="29"/>
      <c r="J53" s="29"/>
      <c r="K53" s="29"/>
      <c r="L53" s="29"/>
      <c r="M53" s="29"/>
      <c r="N53" s="29"/>
      <c r="O53" s="178"/>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62"/>
      <c r="AP53" s="62"/>
      <c r="AQ53" s="62"/>
      <c r="AR53" s="62"/>
      <c r="AS53" s="62"/>
      <c r="AT53" s="62"/>
      <c r="AU53" s="62"/>
      <c r="AV53" s="62"/>
      <c r="AW53" s="62"/>
      <c r="AX53" s="62"/>
      <c r="AY53" s="62"/>
    </row>
    <row r="54" spans="1:51" s="27" customFormat="1" ht="13.8">
      <c r="A54" s="89"/>
      <c r="B54" s="89"/>
      <c r="C54" s="89"/>
      <c r="D54" s="89"/>
      <c r="E54" s="89"/>
      <c r="F54" s="89"/>
      <c r="G54" s="89"/>
      <c r="H54" s="29"/>
      <c r="I54" s="29"/>
      <c r="J54" s="29"/>
      <c r="K54" s="29"/>
      <c r="L54" s="29"/>
      <c r="M54" s="29"/>
      <c r="N54" s="29"/>
      <c r="O54" s="178"/>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62"/>
      <c r="AP54" s="62"/>
      <c r="AQ54" s="62"/>
      <c r="AR54" s="62"/>
      <c r="AS54" s="62"/>
      <c r="AT54" s="62"/>
      <c r="AU54" s="62"/>
      <c r="AV54" s="62"/>
      <c r="AW54" s="62"/>
      <c r="AX54" s="62"/>
      <c r="AY54" s="62"/>
    </row>
    <row r="55" spans="1:51" s="27" customFormat="1" ht="13.8">
      <c r="A55" s="89"/>
      <c r="B55" s="89"/>
      <c r="C55" s="89"/>
      <c r="D55" s="89"/>
      <c r="E55" s="89"/>
      <c r="F55" s="89"/>
      <c r="G55" s="89"/>
      <c r="H55" s="29"/>
      <c r="I55" s="29"/>
      <c r="J55" s="29"/>
      <c r="K55" s="29"/>
      <c r="L55" s="29"/>
      <c r="M55" s="29"/>
      <c r="N55" s="29"/>
      <c r="O55" s="178"/>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62"/>
      <c r="AP55" s="62"/>
      <c r="AQ55" s="62"/>
      <c r="AR55" s="62"/>
      <c r="AS55" s="62"/>
      <c r="AT55" s="62"/>
      <c r="AU55" s="62"/>
      <c r="AV55" s="62"/>
      <c r="AW55" s="62"/>
      <c r="AX55" s="62"/>
      <c r="AY55" s="62"/>
    </row>
    <row r="56" spans="1:51" s="27" customFormat="1" ht="13.8">
      <c r="A56" s="89"/>
      <c r="B56" s="89"/>
      <c r="C56" s="89"/>
      <c r="D56" s="89"/>
      <c r="E56" s="89"/>
      <c r="F56" s="89"/>
      <c r="G56" s="89"/>
      <c r="H56" s="29"/>
      <c r="I56" s="29"/>
      <c r="J56" s="29"/>
      <c r="K56" s="29"/>
      <c r="L56" s="29"/>
      <c r="M56" s="29"/>
      <c r="N56" s="29"/>
      <c r="O56" s="178"/>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62"/>
      <c r="AP56" s="62"/>
      <c r="AQ56" s="62"/>
      <c r="AR56" s="62"/>
      <c r="AS56" s="62"/>
      <c r="AT56" s="62"/>
      <c r="AU56" s="62"/>
      <c r="AV56" s="62"/>
      <c r="AW56" s="62"/>
      <c r="AX56" s="62"/>
      <c r="AY56" s="62"/>
    </row>
    <row r="57" spans="1:51" s="27" customFormat="1" ht="13.8" hidden="1">
      <c r="A57" s="404" t="s">
        <v>34</v>
      </c>
      <c r="B57" s="405"/>
      <c r="C57" s="405"/>
      <c r="D57" s="405"/>
      <c r="E57" s="405"/>
      <c r="F57" s="406"/>
      <c r="G57" s="89"/>
      <c r="H57" s="29"/>
      <c r="I57" s="29"/>
      <c r="J57" s="29"/>
      <c r="K57" s="29"/>
      <c r="L57" s="29"/>
      <c r="M57" s="29"/>
      <c r="N57" s="29"/>
      <c r="O57" s="178"/>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62"/>
      <c r="AP57" s="62"/>
      <c r="AQ57" s="62"/>
      <c r="AR57" s="62"/>
      <c r="AS57" s="62"/>
      <c r="AT57" s="62"/>
      <c r="AU57" s="62"/>
      <c r="AV57" s="62"/>
      <c r="AW57" s="62"/>
      <c r="AX57" s="62"/>
      <c r="AY57" s="62"/>
    </row>
    <row r="58" spans="1:51" s="27" customFormat="1" ht="13.8" hidden="1">
      <c r="A58" s="90" t="s">
        <v>30</v>
      </c>
      <c r="B58" s="407" t="s">
        <v>23</v>
      </c>
      <c r="C58" s="408"/>
      <c r="D58" s="407" t="s">
        <v>33</v>
      </c>
      <c r="E58" s="408"/>
      <c r="F58" s="91" t="s">
        <v>22</v>
      </c>
      <c r="G58" s="89"/>
      <c r="H58" s="29"/>
      <c r="I58" s="29"/>
      <c r="J58" s="29"/>
      <c r="K58" s="29"/>
      <c r="L58" s="29"/>
      <c r="M58" s="29"/>
      <c r="N58" s="29"/>
      <c r="O58" s="178"/>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62"/>
      <c r="AP58" s="62"/>
      <c r="AQ58" s="62"/>
      <c r="AR58" s="62"/>
      <c r="AS58" s="62"/>
      <c r="AT58" s="62"/>
      <c r="AU58" s="62"/>
      <c r="AV58" s="62"/>
      <c r="AW58" s="62"/>
      <c r="AX58" s="62"/>
      <c r="AY58" s="62"/>
    </row>
    <row r="59" spans="1:51" s="27" customFormat="1" ht="13.8" hidden="1">
      <c r="A59" s="92">
        <v>1</v>
      </c>
      <c r="B59" s="93">
        <v>2</v>
      </c>
      <c r="C59" s="93">
        <v>3</v>
      </c>
      <c r="D59" s="93">
        <v>4</v>
      </c>
      <c r="E59" s="92">
        <v>5</v>
      </c>
      <c r="F59" s="93">
        <v>6</v>
      </c>
      <c r="G59" s="89"/>
      <c r="H59" s="29"/>
      <c r="I59" s="29"/>
      <c r="J59" s="29"/>
      <c r="K59" s="29"/>
      <c r="L59" s="29"/>
      <c r="M59" s="29"/>
      <c r="N59" s="29"/>
      <c r="O59" s="178"/>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62"/>
      <c r="AP59" s="62"/>
      <c r="AQ59" s="62"/>
      <c r="AR59" s="62"/>
      <c r="AS59" s="62"/>
      <c r="AT59" s="62"/>
      <c r="AU59" s="62"/>
      <c r="AV59" s="62"/>
      <c r="AW59" s="62"/>
      <c r="AX59" s="62"/>
      <c r="AY59" s="62"/>
    </row>
    <row r="60" spans="1:51" s="27" customFormat="1" ht="13.8" hidden="1">
      <c r="A60" s="94"/>
      <c r="B60" s="93" t="s">
        <v>51</v>
      </c>
      <c r="C60" s="93" t="s">
        <v>31</v>
      </c>
      <c r="D60" s="93" t="s">
        <v>51</v>
      </c>
      <c r="E60" s="93" t="s">
        <v>31</v>
      </c>
      <c r="F60" s="92" t="s">
        <v>31</v>
      </c>
      <c r="G60" s="89"/>
      <c r="H60" s="29"/>
      <c r="I60" s="29"/>
      <c r="J60" s="29"/>
      <c r="K60" s="29"/>
      <c r="L60" s="29"/>
      <c r="M60" s="29"/>
      <c r="N60" s="29"/>
      <c r="O60" s="178"/>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62"/>
      <c r="AP60" s="62"/>
      <c r="AQ60" s="62"/>
      <c r="AR60" s="62"/>
      <c r="AS60" s="62"/>
      <c r="AT60" s="62"/>
      <c r="AU60" s="62"/>
      <c r="AV60" s="62"/>
      <c r="AW60" s="62"/>
      <c r="AX60" s="62"/>
      <c r="AY60" s="62"/>
    </row>
    <row r="61" spans="1:51" s="27" customFormat="1" ht="13.8" hidden="1">
      <c r="A61" s="95"/>
      <c r="B61" s="90">
        <v>2025</v>
      </c>
      <c r="C61" s="90">
        <v>2026</v>
      </c>
      <c r="D61" s="90" t="s">
        <v>187</v>
      </c>
      <c r="E61" s="90" t="s">
        <v>220</v>
      </c>
      <c r="F61" s="96"/>
      <c r="G61" s="89"/>
      <c r="H61" s="78" t="str">
        <f t="shared" ref="H61:P61" si="1">C415</f>
        <v>2021 fakts</v>
      </c>
      <c r="I61" s="78" t="str">
        <f t="shared" si="1"/>
        <v>2021 fakts</v>
      </c>
      <c r="J61" s="78" t="str">
        <f t="shared" si="1"/>
        <v>2022 plāns</v>
      </c>
      <c r="K61" s="78" t="str">
        <f t="shared" si="1"/>
        <v>2022 fakts</v>
      </c>
      <c r="L61" s="78" t="str">
        <f t="shared" si="1"/>
        <v>2023 plāns</v>
      </c>
      <c r="M61" s="78" t="str">
        <f t="shared" si="1"/>
        <v>2023 fakts</v>
      </c>
      <c r="N61" s="78" t="str">
        <f t="shared" si="1"/>
        <v>2024 fakts</v>
      </c>
      <c r="O61" s="78" t="str">
        <f t="shared" si="1"/>
        <v>2025 fakts</v>
      </c>
      <c r="P61" s="78" t="str">
        <f t="shared" si="1"/>
        <v>2026 prognoze</v>
      </c>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62"/>
      <c r="AP61" s="62"/>
      <c r="AQ61" s="62"/>
      <c r="AR61" s="62"/>
      <c r="AS61" s="62"/>
      <c r="AT61" s="62"/>
      <c r="AU61" s="62"/>
      <c r="AV61" s="62"/>
      <c r="AW61" s="62"/>
      <c r="AX61" s="62"/>
      <c r="AY61" s="62"/>
    </row>
    <row r="62" spans="1:51" s="27" customFormat="1" ht="12" hidden="1" customHeight="1">
      <c r="A62" s="97" t="s">
        <v>156</v>
      </c>
      <c r="B62" s="98">
        <f ca="1">IFERROR(B23/O62*100,"")</f>
        <v>8.6612990831862607E-2</v>
      </c>
      <c r="C62" s="98">
        <f ca="1">IFERROR(C23/P62*100,"")</f>
        <v>-4.7302923459643598E-2</v>
      </c>
      <c r="D62" s="98">
        <f>IFERROR(D23/O62*100,"")</f>
        <v>-0.3859883117055754</v>
      </c>
      <c r="E62" s="98">
        <f>IFERROR(E23/P62*100,"")</f>
        <v>-0.3269205166416348</v>
      </c>
      <c r="F62" s="98">
        <f ca="1">IFERROR(C62-E62,"")</f>
        <v>0.2796175931819912</v>
      </c>
      <c r="G62" s="89"/>
      <c r="H62" s="78">
        <f t="shared" ref="H62:H73" si="2">C416</f>
        <v>32283779</v>
      </c>
      <c r="I62" s="78">
        <f t="shared" ref="I62:I73" si="3">D416</f>
        <v>32283779</v>
      </c>
      <c r="J62" s="78">
        <f t="shared" ref="J62:J73" si="4">E416</f>
        <v>36103656</v>
      </c>
      <c r="K62" s="78">
        <f t="shared" ref="K62:K73" si="5">F416</f>
        <v>36088740</v>
      </c>
      <c r="L62" s="78">
        <f>G416</f>
        <v>39072483</v>
      </c>
      <c r="M62" s="78">
        <f t="shared" ref="M62:M73" si="6">H416</f>
        <v>39564221</v>
      </c>
      <c r="N62" s="78">
        <f t="shared" ref="N62:N73" si="7">I416</f>
        <v>40652318</v>
      </c>
      <c r="O62" s="78">
        <f t="shared" ref="O62:O73" si="8">J416</f>
        <v>43026190</v>
      </c>
      <c r="P62" s="78">
        <f t="shared" ref="P62:P73" si="9">K416</f>
        <v>45538272.107807383</v>
      </c>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62"/>
      <c r="AP62" s="62"/>
      <c r="AQ62" s="62"/>
      <c r="AR62" s="62"/>
      <c r="AS62" s="62"/>
      <c r="AT62" s="62"/>
      <c r="AU62" s="62"/>
      <c r="AV62" s="62"/>
      <c r="AW62" s="62"/>
      <c r="AX62" s="62"/>
      <c r="AY62" s="62"/>
    </row>
    <row r="63" spans="1:51" s="27" customFormat="1" ht="13.8" hidden="1">
      <c r="A63" s="97" t="s">
        <v>157</v>
      </c>
      <c r="B63" s="98">
        <f t="shared" ref="B63:B72" ca="1" si="10">IFERROR(B24/O63*100,"")</f>
        <v>-0.15825692909365344</v>
      </c>
      <c r="C63" s="98">
        <f t="shared" ref="C63:C73" ca="1" si="11">IFERROR(C24/P63*100,"")</f>
        <v>0.93426605426045251</v>
      </c>
      <c r="D63" s="98">
        <f t="shared" ref="D63:D73" si="12">IFERROR(D24/O63*100,"")</f>
        <v>-0.77197662341115081</v>
      </c>
      <c r="E63" s="98">
        <f t="shared" ref="E63:E73" si="13">IFERROR(E24/P63*100,"")</f>
        <v>-0.65384103328326959</v>
      </c>
      <c r="F63" s="98">
        <f t="shared" ref="F63:F73" ca="1" si="14">IFERROR(C63-E63,"")</f>
        <v>1.588107087543722</v>
      </c>
      <c r="G63" s="89"/>
      <c r="H63" s="78">
        <f t="shared" si="2"/>
        <v>32283779</v>
      </c>
      <c r="I63" s="78">
        <f t="shared" si="3"/>
        <v>32283779</v>
      </c>
      <c r="J63" s="78">
        <f t="shared" si="4"/>
        <v>36103656</v>
      </c>
      <c r="K63" s="78">
        <f t="shared" si="5"/>
        <v>36088740</v>
      </c>
      <c r="L63" s="78">
        <f t="shared" ref="L63:L73" si="15">G417</f>
        <v>39072483</v>
      </c>
      <c r="M63" s="78">
        <f t="shared" si="6"/>
        <v>39564221</v>
      </c>
      <c r="N63" s="78">
        <f t="shared" si="7"/>
        <v>40652318</v>
      </c>
      <c r="O63" s="78">
        <f t="shared" si="8"/>
        <v>43026190</v>
      </c>
      <c r="P63" s="78">
        <f t="shared" si="9"/>
        <v>45538272.107807383</v>
      </c>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62"/>
      <c r="AP63" s="62"/>
      <c r="AQ63" s="62"/>
      <c r="AR63" s="62"/>
      <c r="AS63" s="62"/>
      <c r="AT63" s="62"/>
      <c r="AU63" s="62"/>
      <c r="AV63" s="62"/>
      <c r="AW63" s="62"/>
      <c r="AX63" s="62"/>
      <c r="AY63" s="62"/>
    </row>
    <row r="64" spans="1:51" s="27" customFormat="1" ht="13.8" hidden="1">
      <c r="A64" s="97" t="s">
        <v>158</v>
      </c>
      <c r="B64" s="98">
        <f t="shared" ca="1" si="10"/>
        <v>-1.2113408577426905</v>
      </c>
      <c r="C64" s="98">
        <f t="shared" ca="1" si="11"/>
        <v>1.4334788514912288E-2</v>
      </c>
      <c r="D64" s="98">
        <f t="shared" si="12"/>
        <v>-1.1579649351167263</v>
      </c>
      <c r="E64" s="98">
        <f t="shared" si="13"/>
        <v>-0.9807615499249045</v>
      </c>
      <c r="F64" s="98">
        <f t="shared" ca="1" si="14"/>
        <v>0.99509633843981682</v>
      </c>
      <c r="G64" s="89"/>
      <c r="H64" s="78">
        <f t="shared" si="2"/>
        <v>32283779</v>
      </c>
      <c r="I64" s="78">
        <f t="shared" si="3"/>
        <v>32283779</v>
      </c>
      <c r="J64" s="78">
        <f t="shared" si="4"/>
        <v>36103656</v>
      </c>
      <c r="K64" s="78">
        <f t="shared" si="5"/>
        <v>36088740</v>
      </c>
      <c r="L64" s="78">
        <f t="shared" si="15"/>
        <v>39072483</v>
      </c>
      <c r="M64" s="78">
        <f t="shared" si="6"/>
        <v>39564221</v>
      </c>
      <c r="N64" s="78">
        <f t="shared" si="7"/>
        <v>40652318</v>
      </c>
      <c r="O64" s="78">
        <f t="shared" si="8"/>
        <v>43026190</v>
      </c>
      <c r="P64" s="78">
        <f t="shared" si="9"/>
        <v>45538272.107807383</v>
      </c>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62"/>
      <c r="AP64" s="62"/>
      <c r="AQ64" s="62"/>
      <c r="AR64" s="62"/>
      <c r="AS64" s="62"/>
      <c r="AT64" s="62"/>
      <c r="AU64" s="62"/>
      <c r="AV64" s="62"/>
      <c r="AW64" s="62"/>
      <c r="AX64" s="62"/>
      <c r="AY64" s="62"/>
    </row>
    <row r="65" spans="1:51" s="27" customFormat="1" ht="13.8" hidden="1">
      <c r="A65" s="97" t="s">
        <v>159</v>
      </c>
      <c r="B65" s="98">
        <f t="shared" ca="1" si="10"/>
        <v>-1.8069483098550005</v>
      </c>
      <c r="C65" s="98">
        <f t="shared" ca="1" si="11"/>
        <v>-0.30185293959898202</v>
      </c>
      <c r="D65" s="98">
        <f t="shared" si="12"/>
        <v>-1.5439532468223016</v>
      </c>
      <c r="E65" s="98">
        <f t="shared" si="13"/>
        <v>-1.3076820665665392</v>
      </c>
      <c r="F65" s="98">
        <f t="shared" ca="1" si="14"/>
        <v>1.0058291269675572</v>
      </c>
      <c r="G65" s="89"/>
      <c r="H65" s="78">
        <f t="shared" si="2"/>
        <v>32283779</v>
      </c>
      <c r="I65" s="78">
        <f t="shared" si="3"/>
        <v>32283779</v>
      </c>
      <c r="J65" s="78">
        <f t="shared" si="4"/>
        <v>36103656</v>
      </c>
      <c r="K65" s="78">
        <f t="shared" si="5"/>
        <v>36088740</v>
      </c>
      <c r="L65" s="78">
        <f t="shared" si="15"/>
        <v>39072483</v>
      </c>
      <c r="M65" s="78">
        <f t="shared" si="6"/>
        <v>39564221</v>
      </c>
      <c r="N65" s="78">
        <f t="shared" si="7"/>
        <v>40652318</v>
      </c>
      <c r="O65" s="78">
        <f t="shared" si="8"/>
        <v>43026190</v>
      </c>
      <c r="P65" s="78">
        <f t="shared" si="9"/>
        <v>45538272.107807383</v>
      </c>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62"/>
      <c r="AP65" s="62"/>
      <c r="AQ65" s="62"/>
      <c r="AR65" s="62"/>
      <c r="AS65" s="62"/>
      <c r="AT65" s="62"/>
      <c r="AU65" s="62"/>
      <c r="AV65" s="62"/>
      <c r="AW65" s="62"/>
      <c r="AX65" s="62"/>
      <c r="AY65" s="62"/>
    </row>
    <row r="66" spans="1:51" s="27" customFormat="1" ht="13.8" hidden="1">
      <c r="A66" s="97" t="s">
        <v>160</v>
      </c>
      <c r="B66" s="98">
        <f t="shared" ca="1" si="10"/>
        <v>-0.97572156400555377</v>
      </c>
      <c r="C66" s="98">
        <f t="shared" ca="1" si="11"/>
        <v>0.43884254660979544</v>
      </c>
      <c r="D66" s="98">
        <f t="shared" si="12"/>
        <v>-1.929941558527877</v>
      </c>
      <c r="E66" s="98">
        <f t="shared" si="13"/>
        <v>-1.6346025832081741</v>
      </c>
      <c r="F66" s="98">
        <f t="shared" ca="1" si="14"/>
        <v>2.0734451298179697</v>
      </c>
      <c r="G66" s="122"/>
      <c r="H66" s="78">
        <f t="shared" si="2"/>
        <v>32283779</v>
      </c>
      <c r="I66" s="78">
        <f t="shared" si="3"/>
        <v>32283779</v>
      </c>
      <c r="J66" s="78">
        <f t="shared" si="4"/>
        <v>36103656</v>
      </c>
      <c r="K66" s="78">
        <f t="shared" si="5"/>
        <v>36088740</v>
      </c>
      <c r="L66" s="78">
        <f t="shared" si="15"/>
        <v>39072483</v>
      </c>
      <c r="M66" s="78">
        <f t="shared" si="6"/>
        <v>39564221</v>
      </c>
      <c r="N66" s="78">
        <f t="shared" si="7"/>
        <v>40652318</v>
      </c>
      <c r="O66" s="78">
        <f t="shared" si="8"/>
        <v>43026190</v>
      </c>
      <c r="P66" s="78">
        <f t="shared" si="9"/>
        <v>45538272.107807383</v>
      </c>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62"/>
      <c r="AP66" s="62"/>
      <c r="AQ66" s="62"/>
      <c r="AR66" s="62"/>
      <c r="AS66" s="62"/>
      <c r="AT66" s="62"/>
      <c r="AU66" s="62"/>
      <c r="AV66" s="62"/>
      <c r="AW66" s="62"/>
      <c r="AX66" s="62"/>
      <c r="AY66" s="62"/>
    </row>
    <row r="67" spans="1:51" s="27" customFormat="1" ht="13.8" hidden="1">
      <c r="A67" s="97" t="s">
        <v>161</v>
      </c>
      <c r="B67" s="98">
        <f t="shared" ca="1" si="10"/>
        <v>-0.5881417364633087</v>
      </c>
      <c r="C67" s="98">
        <f t="shared" ca="1" si="11"/>
        <v>0.59744648930883215</v>
      </c>
      <c r="D67" s="98">
        <f t="shared" si="12"/>
        <v>-2.3159298702334525</v>
      </c>
      <c r="E67" s="98">
        <f t="shared" si="13"/>
        <v>-1.961523099849809</v>
      </c>
      <c r="F67" s="98">
        <f t="shared" ca="1" si="14"/>
        <v>2.5589695891586413</v>
      </c>
      <c r="G67" s="122"/>
      <c r="H67" s="78">
        <f t="shared" si="2"/>
        <v>32283779</v>
      </c>
      <c r="I67" s="78">
        <f t="shared" si="3"/>
        <v>32283779</v>
      </c>
      <c r="J67" s="78">
        <f t="shared" si="4"/>
        <v>36103656</v>
      </c>
      <c r="K67" s="78">
        <f t="shared" si="5"/>
        <v>36088740</v>
      </c>
      <c r="L67" s="78">
        <f t="shared" si="15"/>
        <v>39072483</v>
      </c>
      <c r="M67" s="78">
        <f t="shared" si="6"/>
        <v>39564221</v>
      </c>
      <c r="N67" s="78">
        <f t="shared" si="7"/>
        <v>40652318</v>
      </c>
      <c r="O67" s="78">
        <f t="shared" si="8"/>
        <v>43026190</v>
      </c>
      <c r="P67" s="78">
        <f t="shared" si="9"/>
        <v>45538272.107807383</v>
      </c>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62"/>
      <c r="AP67" s="62"/>
      <c r="AQ67" s="62"/>
      <c r="AR67" s="62"/>
      <c r="AS67" s="62"/>
      <c r="AT67" s="62"/>
      <c r="AU67" s="62"/>
      <c r="AV67" s="62"/>
      <c r="AW67" s="62"/>
      <c r="AX67" s="62"/>
      <c r="AY67" s="62"/>
    </row>
    <row r="68" spans="1:51" s="27" customFormat="1" ht="13.8" hidden="1">
      <c r="A68" s="97" t="s">
        <v>162</v>
      </c>
      <c r="B68" s="98">
        <f t="shared" ca="1" si="10"/>
        <v>-0.97600819640316061</v>
      </c>
      <c r="C68" s="98">
        <f t="shared" ca="1" si="11"/>
        <v>0.11213349483070673</v>
      </c>
      <c r="D68" s="98">
        <f t="shared" si="12"/>
        <v>-2.7019181819390279</v>
      </c>
      <c r="E68" s="98">
        <f t="shared" si="13"/>
        <v>-2.2884436164914437</v>
      </c>
      <c r="F68" s="98">
        <f t="shared" ca="1" si="14"/>
        <v>2.4005771113221503</v>
      </c>
      <c r="G68" s="122"/>
      <c r="H68" s="78">
        <f t="shared" si="2"/>
        <v>32283779</v>
      </c>
      <c r="I68" s="78">
        <f t="shared" si="3"/>
        <v>32283779</v>
      </c>
      <c r="J68" s="78">
        <f t="shared" si="4"/>
        <v>36103656</v>
      </c>
      <c r="K68" s="78">
        <f t="shared" si="5"/>
        <v>36088740</v>
      </c>
      <c r="L68" s="78">
        <f t="shared" si="15"/>
        <v>39072483</v>
      </c>
      <c r="M68" s="78">
        <f t="shared" si="6"/>
        <v>39564221</v>
      </c>
      <c r="N68" s="78">
        <f t="shared" si="7"/>
        <v>40652318</v>
      </c>
      <c r="O68" s="78">
        <f t="shared" si="8"/>
        <v>43026190</v>
      </c>
      <c r="P68" s="78">
        <f t="shared" si="9"/>
        <v>45538272.107807383</v>
      </c>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62"/>
      <c r="AP68" s="62"/>
      <c r="AQ68" s="62"/>
      <c r="AR68" s="62"/>
      <c r="AS68" s="62"/>
      <c r="AT68" s="62"/>
      <c r="AU68" s="62"/>
      <c r="AV68" s="62"/>
      <c r="AW68" s="62"/>
      <c r="AX68" s="62"/>
      <c r="AY68" s="62"/>
    </row>
    <row r="69" spans="1:51" s="27" customFormat="1" ht="13.8" hidden="1">
      <c r="A69" s="97" t="s">
        <v>163</v>
      </c>
      <c r="B69" s="98">
        <f t="shared" ca="1" si="10"/>
        <v>-0.59733248516775517</v>
      </c>
      <c r="C69" s="98" t="str">
        <f t="shared" ca="1" si="11"/>
        <v/>
      </c>
      <c r="D69" s="98">
        <f t="shared" si="12"/>
        <v>-3.0879064936446032</v>
      </c>
      <c r="E69" s="98">
        <f t="shared" si="13"/>
        <v>-2.6153641331330784</v>
      </c>
      <c r="F69" s="98" t="str">
        <f t="shared" ca="1" si="14"/>
        <v/>
      </c>
      <c r="G69" s="122"/>
      <c r="H69" s="78">
        <f t="shared" si="2"/>
        <v>32283779</v>
      </c>
      <c r="I69" s="78">
        <f t="shared" si="3"/>
        <v>32283779</v>
      </c>
      <c r="J69" s="78">
        <f t="shared" si="4"/>
        <v>36103656</v>
      </c>
      <c r="K69" s="78">
        <f t="shared" si="5"/>
        <v>36088740</v>
      </c>
      <c r="L69" s="78">
        <f t="shared" si="15"/>
        <v>39072483</v>
      </c>
      <c r="M69" s="78">
        <f t="shared" si="6"/>
        <v>39564221</v>
      </c>
      <c r="N69" s="78">
        <f t="shared" si="7"/>
        <v>40652318</v>
      </c>
      <c r="O69" s="78">
        <f t="shared" si="8"/>
        <v>43026190</v>
      </c>
      <c r="P69" s="78">
        <f t="shared" si="9"/>
        <v>45538272.107807383</v>
      </c>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62"/>
      <c r="AP69" s="62"/>
      <c r="AQ69" s="62"/>
      <c r="AR69" s="62"/>
      <c r="AS69" s="62"/>
      <c r="AT69" s="62"/>
      <c r="AU69" s="62"/>
      <c r="AV69" s="62"/>
      <c r="AW69" s="62"/>
      <c r="AX69" s="62"/>
      <c r="AY69" s="62"/>
    </row>
    <row r="70" spans="1:51" s="27" customFormat="1" ht="13.8" hidden="1">
      <c r="A70" s="97" t="s">
        <v>164</v>
      </c>
      <c r="B70" s="98">
        <f t="shared" ca="1" si="10"/>
        <v>-1.1672112566787807</v>
      </c>
      <c r="C70" s="98" t="str">
        <f t="shared" ca="1" si="11"/>
        <v/>
      </c>
      <c r="D70" s="98">
        <f t="shared" si="12"/>
        <v>-3.4738948053501786</v>
      </c>
      <c r="E70" s="98">
        <f t="shared" si="13"/>
        <v>-2.9422846497747135</v>
      </c>
      <c r="F70" s="98" t="str">
        <f t="shared" ca="1" si="14"/>
        <v/>
      </c>
      <c r="G70" s="89"/>
      <c r="H70" s="78">
        <f t="shared" si="2"/>
        <v>32283779</v>
      </c>
      <c r="I70" s="78">
        <f t="shared" si="3"/>
        <v>32283779</v>
      </c>
      <c r="J70" s="78">
        <f t="shared" si="4"/>
        <v>36103656</v>
      </c>
      <c r="K70" s="78">
        <f t="shared" si="5"/>
        <v>36088740</v>
      </c>
      <c r="L70" s="78">
        <f t="shared" si="15"/>
        <v>39072483</v>
      </c>
      <c r="M70" s="78">
        <f t="shared" si="6"/>
        <v>39564221</v>
      </c>
      <c r="N70" s="78">
        <f t="shared" si="7"/>
        <v>40652318</v>
      </c>
      <c r="O70" s="78">
        <f t="shared" si="8"/>
        <v>43026190</v>
      </c>
      <c r="P70" s="78">
        <f t="shared" si="9"/>
        <v>45538272.107807383</v>
      </c>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62"/>
      <c r="AP70" s="62"/>
      <c r="AQ70" s="62"/>
      <c r="AR70" s="62"/>
      <c r="AS70" s="62"/>
      <c r="AT70" s="62"/>
      <c r="AU70" s="62"/>
      <c r="AV70" s="62"/>
      <c r="AW70" s="62"/>
      <c r="AX70" s="62"/>
      <c r="AY70" s="62"/>
    </row>
    <row r="71" spans="1:51" s="27" customFormat="1" ht="13.8" hidden="1">
      <c r="A71" s="97" t="s">
        <v>165</v>
      </c>
      <c r="B71" s="98">
        <f t="shared" ca="1" si="10"/>
        <v>-1.8840557669642624</v>
      </c>
      <c r="C71" s="98" t="str">
        <f t="shared" ca="1" si="11"/>
        <v/>
      </c>
      <c r="D71" s="98">
        <f t="shared" si="12"/>
        <v>-3.8598831170557539</v>
      </c>
      <c r="E71" s="98">
        <f t="shared" si="13"/>
        <v>-3.2692051664163482</v>
      </c>
      <c r="F71" s="98" t="str">
        <f t="shared" ca="1" si="14"/>
        <v/>
      </c>
      <c r="G71" s="89"/>
      <c r="H71" s="78">
        <f t="shared" si="2"/>
        <v>32283779</v>
      </c>
      <c r="I71" s="78">
        <f t="shared" si="3"/>
        <v>32283779</v>
      </c>
      <c r="J71" s="78">
        <f t="shared" si="4"/>
        <v>36103656</v>
      </c>
      <c r="K71" s="78">
        <f t="shared" si="5"/>
        <v>36088740</v>
      </c>
      <c r="L71" s="78">
        <f t="shared" si="15"/>
        <v>39072483</v>
      </c>
      <c r="M71" s="78">
        <f t="shared" si="6"/>
        <v>39564221</v>
      </c>
      <c r="N71" s="78">
        <f t="shared" si="7"/>
        <v>40652318</v>
      </c>
      <c r="O71" s="78">
        <f t="shared" si="8"/>
        <v>43026190</v>
      </c>
      <c r="P71" s="78">
        <f t="shared" si="9"/>
        <v>45538272.107807383</v>
      </c>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62"/>
      <c r="AP71" s="62"/>
      <c r="AQ71" s="62"/>
      <c r="AR71" s="62"/>
      <c r="AS71" s="62"/>
      <c r="AT71" s="62"/>
      <c r="AU71" s="62"/>
      <c r="AV71" s="62"/>
      <c r="AW71" s="62"/>
      <c r="AX71" s="62"/>
      <c r="AY71" s="62"/>
    </row>
    <row r="72" spans="1:51" s="27" customFormat="1" ht="13.8" hidden="1">
      <c r="A72" s="97" t="s">
        <v>166</v>
      </c>
      <c r="B72" s="98">
        <f t="shared" ca="1" si="10"/>
        <v>-2.3995152557082111</v>
      </c>
      <c r="C72" s="98" t="str">
        <f t="shared" ca="1" si="11"/>
        <v/>
      </c>
      <c r="D72" s="98">
        <f t="shared" si="12"/>
        <v>-4.2458714287613297</v>
      </c>
      <c r="E72" s="98">
        <f t="shared" si="13"/>
        <v>-3.5961256830579833</v>
      </c>
      <c r="F72" s="98" t="str">
        <f t="shared" ca="1" si="14"/>
        <v/>
      </c>
      <c r="G72" s="89"/>
      <c r="H72" s="78">
        <f t="shared" si="2"/>
        <v>32283779</v>
      </c>
      <c r="I72" s="78">
        <f t="shared" si="3"/>
        <v>32283779</v>
      </c>
      <c r="J72" s="78">
        <f t="shared" si="4"/>
        <v>36103656</v>
      </c>
      <c r="K72" s="78">
        <f t="shared" si="5"/>
        <v>36088740</v>
      </c>
      <c r="L72" s="78">
        <f t="shared" si="15"/>
        <v>39072483</v>
      </c>
      <c r="M72" s="78">
        <f t="shared" si="6"/>
        <v>39564221</v>
      </c>
      <c r="N72" s="78">
        <f t="shared" si="7"/>
        <v>40652318</v>
      </c>
      <c r="O72" s="78">
        <f t="shared" si="8"/>
        <v>43026190</v>
      </c>
      <c r="P72" s="78">
        <f t="shared" si="9"/>
        <v>45538272.107807383</v>
      </c>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62"/>
      <c r="AP72" s="62"/>
      <c r="AQ72" s="62"/>
      <c r="AR72" s="62"/>
      <c r="AS72" s="62"/>
      <c r="AT72" s="62"/>
      <c r="AU72" s="62"/>
      <c r="AV72" s="62"/>
      <c r="AW72" s="62"/>
      <c r="AX72" s="62"/>
      <c r="AY72" s="62"/>
    </row>
    <row r="73" spans="1:51" s="27" customFormat="1" ht="13.8" hidden="1">
      <c r="A73" s="97" t="s">
        <v>167</v>
      </c>
      <c r="B73" s="98">
        <f ca="1">IFERROR(B34/O73*100,"")</f>
        <v>-4.0456680872742758</v>
      </c>
      <c r="C73" s="98" t="str">
        <f t="shared" ca="1" si="11"/>
        <v/>
      </c>
      <c r="D73" s="98">
        <f t="shared" si="12"/>
        <v>-4.6318597404669051</v>
      </c>
      <c r="E73" s="98">
        <f t="shared" si="13"/>
        <v>-3.923046199699618</v>
      </c>
      <c r="F73" s="98" t="str">
        <f t="shared" ca="1" si="14"/>
        <v/>
      </c>
      <c r="G73" s="89"/>
      <c r="H73" s="78">
        <f t="shared" si="2"/>
        <v>32283779</v>
      </c>
      <c r="I73" s="78">
        <f t="shared" si="3"/>
        <v>32283779</v>
      </c>
      <c r="J73" s="78">
        <f t="shared" si="4"/>
        <v>36103656</v>
      </c>
      <c r="K73" s="78">
        <f t="shared" si="5"/>
        <v>36088740</v>
      </c>
      <c r="L73" s="78">
        <f t="shared" si="15"/>
        <v>39072483</v>
      </c>
      <c r="M73" s="78">
        <f t="shared" si="6"/>
        <v>39564221</v>
      </c>
      <c r="N73" s="78">
        <f t="shared" si="7"/>
        <v>40652318</v>
      </c>
      <c r="O73" s="78">
        <f t="shared" si="8"/>
        <v>43026190</v>
      </c>
      <c r="P73" s="78">
        <f t="shared" si="9"/>
        <v>45538272.107807383</v>
      </c>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62"/>
      <c r="AP73" s="62"/>
      <c r="AQ73" s="62"/>
      <c r="AR73" s="62"/>
      <c r="AS73" s="62"/>
      <c r="AT73" s="62"/>
      <c r="AU73" s="62"/>
      <c r="AV73" s="62"/>
      <c r="AW73" s="62"/>
      <c r="AX73" s="62"/>
      <c r="AY73" s="62"/>
    </row>
    <row r="74" spans="1:51" s="27" customFormat="1" ht="13.8" hidden="1">
      <c r="A74" s="89"/>
      <c r="B74" s="89"/>
      <c r="C74" s="89"/>
      <c r="D74" s="89"/>
      <c r="E74" s="89"/>
      <c r="F74" s="89"/>
      <c r="G74" s="89"/>
      <c r="H74" s="69"/>
      <c r="I74" s="69"/>
      <c r="J74" s="69"/>
      <c r="K74" s="69"/>
      <c r="L74" s="69"/>
      <c r="M74" s="69"/>
      <c r="N74" s="69"/>
      <c r="O74" s="178"/>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62"/>
      <c r="AP74" s="62"/>
      <c r="AQ74" s="62"/>
      <c r="AR74" s="62"/>
      <c r="AS74" s="62"/>
      <c r="AT74" s="62"/>
      <c r="AU74" s="62"/>
      <c r="AV74" s="62"/>
      <c r="AW74" s="62"/>
      <c r="AX74" s="62"/>
      <c r="AY74" s="62"/>
    </row>
    <row r="75" spans="1:51" s="27" customFormat="1" ht="13.8" hidden="1">
      <c r="A75" s="89"/>
      <c r="B75" s="89"/>
      <c r="C75" s="89"/>
      <c r="D75" s="89"/>
      <c r="E75" s="89"/>
      <c r="F75" s="89"/>
      <c r="G75" s="89"/>
      <c r="H75" s="29"/>
      <c r="I75" s="29"/>
      <c r="J75" s="29"/>
      <c r="K75" s="29"/>
      <c r="L75" s="29"/>
      <c r="M75" s="29"/>
      <c r="N75" s="29"/>
      <c r="O75" s="178"/>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62"/>
      <c r="AP75" s="62"/>
      <c r="AQ75" s="62"/>
      <c r="AR75" s="62"/>
      <c r="AS75" s="62"/>
      <c r="AT75" s="62"/>
      <c r="AU75" s="62"/>
      <c r="AV75" s="62"/>
      <c r="AW75" s="62"/>
      <c r="AX75" s="62"/>
      <c r="AY75" s="62"/>
    </row>
    <row r="76" spans="1:51" s="27" customFormat="1" ht="13.8" hidden="1">
      <c r="A76" s="89"/>
      <c r="B76" s="89"/>
      <c r="C76" s="89"/>
      <c r="D76" s="89"/>
      <c r="E76" s="89"/>
      <c r="F76" s="89"/>
      <c r="G76" s="89"/>
      <c r="H76" s="29"/>
      <c r="I76" s="29"/>
      <c r="J76" s="29"/>
      <c r="K76" s="29"/>
      <c r="L76" s="29"/>
      <c r="M76" s="29"/>
      <c r="N76" s="29"/>
      <c r="O76" s="178"/>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62"/>
      <c r="AP76" s="62"/>
      <c r="AQ76" s="62"/>
      <c r="AR76" s="62"/>
      <c r="AS76" s="62"/>
      <c r="AT76" s="62"/>
      <c r="AU76" s="62"/>
      <c r="AV76" s="62"/>
      <c r="AW76" s="62"/>
      <c r="AX76" s="62"/>
      <c r="AY76" s="62"/>
    </row>
    <row r="77" spans="1:51" s="27" customFormat="1" ht="13.8" hidden="1">
      <c r="A77" s="89"/>
      <c r="B77" s="89"/>
      <c r="C77" s="89"/>
      <c r="D77" s="89"/>
      <c r="E77" s="89"/>
      <c r="F77" s="89"/>
      <c r="G77" s="89"/>
      <c r="H77" s="29"/>
      <c r="I77" s="29"/>
      <c r="J77" s="29"/>
      <c r="K77" s="29"/>
      <c r="L77" s="29"/>
      <c r="M77" s="29"/>
      <c r="N77" s="29"/>
      <c r="O77" s="178"/>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62"/>
      <c r="AP77" s="62"/>
      <c r="AQ77" s="62"/>
      <c r="AR77" s="62"/>
      <c r="AS77" s="62"/>
      <c r="AT77" s="62"/>
      <c r="AU77" s="62"/>
      <c r="AV77" s="62"/>
      <c r="AW77" s="62"/>
      <c r="AX77" s="62"/>
      <c r="AY77" s="62"/>
    </row>
    <row r="78" spans="1:51" s="27" customFormat="1" ht="13.8" hidden="1">
      <c r="A78" s="89"/>
      <c r="B78" s="89"/>
      <c r="C78" s="89"/>
      <c r="D78" s="89"/>
      <c r="E78" s="89"/>
      <c r="F78" s="89"/>
      <c r="G78" s="89"/>
      <c r="H78" s="29"/>
      <c r="I78" s="29"/>
      <c r="J78" s="29"/>
      <c r="K78" s="29"/>
      <c r="L78" s="29"/>
      <c r="M78" s="29"/>
      <c r="N78" s="29"/>
      <c r="O78" s="178"/>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62"/>
      <c r="AP78" s="62"/>
      <c r="AQ78" s="62"/>
      <c r="AR78" s="62"/>
      <c r="AS78" s="62"/>
      <c r="AT78" s="62"/>
      <c r="AU78" s="62"/>
      <c r="AV78" s="62"/>
      <c r="AW78" s="62"/>
      <c r="AX78" s="62"/>
      <c r="AY78" s="62"/>
    </row>
    <row r="79" spans="1:51" s="27" customFormat="1" ht="13.8" hidden="1">
      <c r="A79" s="89"/>
      <c r="B79" s="89"/>
      <c r="C79" s="89"/>
      <c r="D79" s="89"/>
      <c r="E79" s="89"/>
      <c r="F79" s="89"/>
      <c r="G79" s="89"/>
      <c r="H79" s="29"/>
      <c r="I79" s="29"/>
      <c r="J79" s="29"/>
      <c r="K79" s="29"/>
      <c r="L79" s="29"/>
      <c r="M79" s="29"/>
      <c r="N79" s="29"/>
      <c r="O79" s="178"/>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62"/>
      <c r="AP79" s="62"/>
      <c r="AQ79" s="62"/>
      <c r="AR79" s="62"/>
      <c r="AS79" s="62"/>
      <c r="AT79" s="62"/>
      <c r="AU79" s="62"/>
      <c r="AV79" s="62"/>
      <c r="AW79" s="62"/>
      <c r="AX79" s="62"/>
      <c r="AY79" s="62"/>
    </row>
    <row r="80" spans="1:51" s="27" customFormat="1" ht="13.8" hidden="1">
      <c r="A80" s="89"/>
      <c r="B80" s="89"/>
      <c r="C80" s="89"/>
      <c r="D80" s="89"/>
      <c r="E80" s="89"/>
      <c r="F80" s="89"/>
      <c r="G80" s="89"/>
      <c r="H80" s="29"/>
      <c r="I80" s="29"/>
      <c r="J80" s="29"/>
      <c r="K80" s="29"/>
      <c r="L80" s="29"/>
      <c r="M80" s="29"/>
      <c r="N80" s="29"/>
      <c r="O80" s="178"/>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62"/>
      <c r="AP80" s="62"/>
      <c r="AQ80" s="62"/>
      <c r="AR80" s="62"/>
      <c r="AS80" s="62"/>
      <c r="AT80" s="62"/>
      <c r="AU80" s="62"/>
      <c r="AV80" s="62"/>
      <c r="AW80" s="62"/>
      <c r="AX80" s="62"/>
      <c r="AY80" s="62"/>
    </row>
    <row r="81" spans="1:51" s="27" customFormat="1" ht="13.8" hidden="1">
      <c r="A81" s="89"/>
      <c r="B81" s="89"/>
      <c r="C81" s="89"/>
      <c r="D81" s="89"/>
      <c r="E81" s="89"/>
      <c r="F81" s="89"/>
      <c r="G81" s="89"/>
      <c r="H81" s="29"/>
      <c r="I81" s="29"/>
      <c r="J81" s="29"/>
      <c r="K81" s="29"/>
      <c r="L81" s="29"/>
      <c r="M81" s="29"/>
      <c r="N81" s="29"/>
      <c r="O81" s="178"/>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62"/>
      <c r="AP81" s="62"/>
      <c r="AQ81" s="62"/>
      <c r="AR81" s="62"/>
      <c r="AS81" s="62"/>
      <c r="AT81" s="62"/>
      <c r="AU81" s="62"/>
      <c r="AV81" s="62"/>
      <c r="AW81" s="62"/>
      <c r="AX81" s="62"/>
      <c r="AY81" s="62"/>
    </row>
    <row r="82" spans="1:51" s="27" customFormat="1" ht="13.8" hidden="1">
      <c r="A82" s="89"/>
      <c r="B82" s="89"/>
      <c r="C82" s="89"/>
      <c r="D82" s="89"/>
      <c r="E82" s="89"/>
      <c r="F82" s="89"/>
      <c r="G82" s="89"/>
      <c r="H82" s="29"/>
      <c r="I82" s="29"/>
      <c r="J82" s="29"/>
      <c r="K82" s="29"/>
      <c r="L82" s="29"/>
      <c r="M82" s="29"/>
      <c r="N82" s="29"/>
      <c r="O82" s="178"/>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62"/>
      <c r="AP82" s="62"/>
      <c r="AQ82" s="62"/>
      <c r="AR82" s="62"/>
      <c r="AS82" s="62"/>
      <c r="AT82" s="62"/>
      <c r="AU82" s="62"/>
      <c r="AV82" s="62"/>
      <c r="AW82" s="62"/>
      <c r="AX82" s="62"/>
      <c r="AY82" s="62"/>
    </row>
    <row r="83" spans="1:51" s="27" customFormat="1" ht="13.8" hidden="1">
      <c r="A83" s="89"/>
      <c r="B83" s="89"/>
      <c r="C83" s="89"/>
      <c r="D83" s="89"/>
      <c r="E83" s="89"/>
      <c r="F83" s="89"/>
      <c r="G83" s="89"/>
      <c r="H83" s="29"/>
      <c r="I83" s="29"/>
      <c r="J83" s="29"/>
      <c r="K83" s="29"/>
      <c r="L83" s="29"/>
      <c r="M83" s="29"/>
      <c r="N83" s="29"/>
      <c r="O83" s="178"/>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62"/>
      <c r="AP83" s="62"/>
      <c r="AQ83" s="62"/>
      <c r="AR83" s="62"/>
      <c r="AS83" s="62"/>
      <c r="AT83" s="62"/>
      <c r="AU83" s="62"/>
      <c r="AV83" s="62"/>
      <c r="AW83" s="62"/>
      <c r="AX83" s="62"/>
      <c r="AY83" s="62"/>
    </row>
    <row r="84" spans="1:51" s="27" customFormat="1" ht="13.8" hidden="1">
      <c r="A84" s="89"/>
      <c r="B84" s="89"/>
      <c r="C84" s="89"/>
      <c r="D84" s="89"/>
      <c r="E84" s="89"/>
      <c r="F84" s="89"/>
      <c r="G84" s="89"/>
      <c r="H84" s="29"/>
      <c r="I84" s="29"/>
      <c r="J84" s="29"/>
      <c r="K84" s="29"/>
      <c r="L84" s="29"/>
      <c r="M84" s="29"/>
      <c r="N84" s="29"/>
      <c r="O84" s="178"/>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62"/>
      <c r="AP84" s="62"/>
      <c r="AQ84" s="62"/>
      <c r="AR84" s="62"/>
      <c r="AS84" s="62"/>
      <c r="AT84" s="62"/>
      <c r="AU84" s="62"/>
      <c r="AV84" s="62"/>
      <c r="AW84" s="62"/>
      <c r="AX84" s="62"/>
      <c r="AY84" s="62"/>
    </row>
    <row r="85" spans="1:51" s="27" customFormat="1" ht="13.8" hidden="1">
      <c r="A85" s="89"/>
      <c r="B85" s="89"/>
      <c r="C85" s="89"/>
      <c r="D85" s="89"/>
      <c r="E85" s="89"/>
      <c r="F85" s="89"/>
      <c r="G85" s="89"/>
      <c r="H85" s="29"/>
      <c r="I85" s="29"/>
      <c r="J85" s="29"/>
      <c r="K85" s="29"/>
      <c r="L85" s="29"/>
      <c r="M85" s="29"/>
      <c r="N85" s="29"/>
      <c r="O85" s="178"/>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62"/>
      <c r="AP85" s="62"/>
      <c r="AQ85" s="62"/>
      <c r="AR85" s="62"/>
      <c r="AS85" s="62"/>
      <c r="AT85" s="62"/>
      <c r="AU85" s="62"/>
      <c r="AV85" s="62"/>
      <c r="AW85" s="62"/>
      <c r="AX85" s="62"/>
      <c r="AY85" s="62"/>
    </row>
    <row r="86" spans="1:51" s="27" customFormat="1" ht="13.8" hidden="1">
      <c r="A86" s="89"/>
      <c r="B86" s="89"/>
      <c r="C86" s="89"/>
      <c r="D86" s="89"/>
      <c r="E86" s="89"/>
      <c r="F86" s="89"/>
      <c r="G86" s="89"/>
      <c r="H86" s="29"/>
      <c r="I86" s="29"/>
      <c r="J86" s="29"/>
      <c r="K86" s="29"/>
      <c r="L86" s="29"/>
      <c r="M86" s="29"/>
      <c r="N86" s="29"/>
      <c r="O86" s="178"/>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62"/>
      <c r="AP86" s="62"/>
      <c r="AQ86" s="62"/>
      <c r="AR86" s="62"/>
      <c r="AS86" s="62"/>
      <c r="AT86" s="62"/>
      <c r="AU86" s="62"/>
      <c r="AV86" s="62"/>
      <c r="AW86" s="62"/>
      <c r="AX86" s="62"/>
      <c r="AY86" s="62"/>
    </row>
    <row r="87" spans="1:51" s="27" customFormat="1" ht="13.8" hidden="1">
      <c r="A87" s="89"/>
      <c r="B87" s="89"/>
      <c r="C87" s="89"/>
      <c r="D87" s="89"/>
      <c r="E87" s="89"/>
      <c r="F87" s="89"/>
      <c r="G87" s="89"/>
      <c r="H87" s="29"/>
      <c r="I87" s="29"/>
      <c r="J87" s="29"/>
      <c r="K87" s="29"/>
      <c r="L87" s="29"/>
      <c r="M87" s="29"/>
      <c r="N87" s="29"/>
      <c r="O87" s="178"/>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62"/>
      <c r="AP87" s="62"/>
      <c r="AQ87" s="62"/>
      <c r="AR87" s="62"/>
      <c r="AS87" s="62"/>
      <c r="AT87" s="62"/>
      <c r="AU87" s="62"/>
      <c r="AV87" s="62"/>
      <c r="AW87" s="62"/>
      <c r="AX87" s="62"/>
      <c r="AY87" s="62"/>
    </row>
    <row r="88" spans="1:51" s="27" customFormat="1" ht="13.8" hidden="1">
      <c r="A88" s="89"/>
      <c r="B88" s="89"/>
      <c r="C88" s="89"/>
      <c r="D88" s="89"/>
      <c r="E88" s="89"/>
      <c r="F88" s="89"/>
      <c r="G88" s="89"/>
      <c r="H88" s="29"/>
      <c r="I88" s="29"/>
      <c r="J88" s="29"/>
      <c r="K88" s="29"/>
      <c r="L88" s="29"/>
      <c r="M88" s="29"/>
      <c r="N88" s="29"/>
      <c r="O88" s="178"/>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62"/>
      <c r="AP88" s="62"/>
      <c r="AQ88" s="62"/>
      <c r="AR88" s="62"/>
      <c r="AS88" s="62"/>
      <c r="AT88" s="62"/>
      <c r="AU88" s="62"/>
      <c r="AV88" s="62"/>
      <c r="AW88" s="62"/>
      <c r="AX88" s="62"/>
      <c r="AY88" s="62"/>
    </row>
    <row r="89" spans="1:51" s="27" customFormat="1" ht="13.8" hidden="1">
      <c r="A89" s="89"/>
      <c r="B89" s="89"/>
      <c r="C89" s="89"/>
      <c r="D89" s="89"/>
      <c r="E89" s="89"/>
      <c r="F89" s="89"/>
      <c r="G89" s="89"/>
      <c r="H89" s="29"/>
      <c r="I89" s="29"/>
      <c r="J89" s="29"/>
      <c r="K89" s="29"/>
      <c r="L89" s="29"/>
      <c r="M89" s="29"/>
      <c r="N89" s="29"/>
      <c r="O89" s="178"/>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62"/>
      <c r="AP89" s="62"/>
      <c r="AQ89" s="62"/>
      <c r="AR89" s="62"/>
      <c r="AS89" s="62"/>
      <c r="AT89" s="62"/>
      <c r="AU89" s="62"/>
      <c r="AV89" s="62"/>
      <c r="AW89" s="62"/>
      <c r="AX89" s="62"/>
      <c r="AY89" s="62"/>
    </row>
    <row r="90" spans="1:51" s="27" customFormat="1" ht="13.8" hidden="1">
      <c r="A90" s="89"/>
      <c r="B90" s="89"/>
      <c r="C90" s="89"/>
      <c r="D90" s="89"/>
      <c r="E90" s="89"/>
      <c r="F90" s="89"/>
      <c r="G90" s="89"/>
      <c r="H90" s="29"/>
      <c r="I90" s="29"/>
      <c r="J90" s="29"/>
      <c r="K90" s="29"/>
      <c r="L90" s="29"/>
      <c r="M90" s="29"/>
      <c r="N90" s="29"/>
      <c r="O90" s="178"/>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62"/>
      <c r="AP90" s="62"/>
      <c r="AQ90" s="62"/>
      <c r="AR90" s="62"/>
      <c r="AS90" s="62"/>
      <c r="AT90" s="62"/>
      <c r="AU90" s="62"/>
      <c r="AV90" s="62"/>
      <c r="AW90" s="62"/>
      <c r="AX90" s="62"/>
      <c r="AY90" s="62"/>
    </row>
    <row r="91" spans="1:51" s="27" customFormat="1" ht="13.8" hidden="1">
      <c r="A91" s="89"/>
      <c r="B91" s="89"/>
      <c r="C91" s="89"/>
      <c r="D91" s="89"/>
      <c r="E91" s="89"/>
      <c r="F91" s="89"/>
      <c r="G91" s="89"/>
      <c r="H91" s="29"/>
      <c r="I91" s="29"/>
      <c r="J91" s="29"/>
      <c r="K91" s="29"/>
      <c r="L91" s="29"/>
      <c r="M91" s="29"/>
      <c r="N91" s="29"/>
      <c r="O91" s="178"/>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62"/>
      <c r="AP91" s="62"/>
      <c r="AQ91" s="62"/>
      <c r="AR91" s="62"/>
      <c r="AS91" s="62"/>
      <c r="AT91" s="62"/>
      <c r="AU91" s="62"/>
      <c r="AV91" s="62"/>
      <c r="AW91" s="62"/>
      <c r="AX91" s="62"/>
      <c r="AY91" s="62"/>
    </row>
    <row r="92" spans="1:51" s="27" customFormat="1" ht="13.8" hidden="1">
      <c r="A92" s="89"/>
      <c r="B92" s="89"/>
      <c r="C92" s="89"/>
      <c r="D92" s="89"/>
      <c r="E92" s="89"/>
      <c r="F92" s="89"/>
      <c r="G92" s="89"/>
      <c r="H92" s="29"/>
      <c r="I92" s="29"/>
      <c r="J92" s="29"/>
      <c r="K92" s="29"/>
      <c r="L92" s="29"/>
      <c r="M92" s="29"/>
      <c r="N92" s="29"/>
      <c r="O92" s="178"/>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62"/>
      <c r="AP92" s="62"/>
      <c r="AQ92" s="62"/>
      <c r="AR92" s="62"/>
      <c r="AS92" s="62"/>
      <c r="AT92" s="62"/>
      <c r="AU92" s="62"/>
      <c r="AV92" s="62"/>
      <c r="AW92" s="62"/>
      <c r="AX92" s="62"/>
      <c r="AY92" s="62"/>
    </row>
    <row r="93" spans="1:51" s="27" customFormat="1" ht="13.8" hidden="1">
      <c r="A93" s="89"/>
      <c r="B93" s="89"/>
      <c r="C93" s="89"/>
      <c r="D93" s="89"/>
      <c r="E93" s="89"/>
      <c r="F93" s="89"/>
      <c r="G93" s="89"/>
      <c r="H93" s="29"/>
      <c r="I93" s="29"/>
      <c r="J93" s="29"/>
      <c r="K93" s="29"/>
      <c r="L93" s="29"/>
      <c r="M93" s="29"/>
      <c r="N93" s="29"/>
      <c r="O93" s="178"/>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62"/>
      <c r="AP93" s="62"/>
      <c r="AQ93" s="62"/>
      <c r="AR93" s="62"/>
      <c r="AS93" s="62"/>
      <c r="AT93" s="62"/>
      <c r="AU93" s="62"/>
      <c r="AV93" s="62"/>
      <c r="AW93" s="62"/>
      <c r="AX93" s="62"/>
      <c r="AY93" s="62"/>
    </row>
    <row r="94" spans="1:51" s="27" customFormat="1" ht="13.8" hidden="1">
      <c r="A94" s="89"/>
      <c r="B94" s="89"/>
      <c r="C94" s="89"/>
      <c r="D94" s="89"/>
      <c r="E94" s="89"/>
      <c r="F94" s="89"/>
      <c r="G94" s="89"/>
      <c r="H94" s="29"/>
      <c r="I94" s="29"/>
      <c r="J94" s="29"/>
      <c r="K94" s="29"/>
      <c r="L94" s="29"/>
      <c r="M94" s="29"/>
      <c r="N94" s="29"/>
      <c r="O94" s="178"/>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62"/>
      <c r="AP94" s="62"/>
      <c r="AQ94" s="62"/>
      <c r="AR94" s="62"/>
      <c r="AS94" s="62"/>
      <c r="AT94" s="62"/>
      <c r="AU94" s="62"/>
      <c r="AV94" s="62"/>
      <c r="AW94" s="62"/>
      <c r="AX94" s="62"/>
      <c r="AY94" s="62"/>
    </row>
    <row r="95" spans="1:51" s="27" customFormat="1" ht="13.8">
      <c r="A95" s="89"/>
      <c r="B95" s="89"/>
      <c r="C95" s="89"/>
      <c r="D95" s="89"/>
      <c r="E95" s="89"/>
      <c r="F95" s="89"/>
      <c r="G95" s="89"/>
      <c r="H95" s="29"/>
      <c r="I95" s="29"/>
      <c r="J95" s="29"/>
      <c r="K95" s="29"/>
      <c r="L95" s="29"/>
      <c r="M95" s="29"/>
      <c r="N95" s="29"/>
      <c r="O95" s="178"/>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62"/>
      <c r="AP95" s="62"/>
      <c r="AQ95" s="62"/>
      <c r="AR95" s="62"/>
      <c r="AS95" s="62"/>
      <c r="AT95" s="62"/>
      <c r="AU95" s="62"/>
      <c r="AV95" s="62"/>
      <c r="AW95" s="62"/>
      <c r="AX95" s="62"/>
      <c r="AY95" s="62"/>
    </row>
    <row r="96" spans="1:51" s="27" customFormat="1" ht="13.8">
      <c r="A96" s="404" t="s">
        <v>59</v>
      </c>
      <c r="B96" s="405"/>
      <c r="C96" s="405"/>
      <c r="D96" s="405"/>
      <c r="E96" s="405"/>
      <c r="F96" s="406"/>
      <c r="G96" s="89"/>
      <c r="H96" s="29"/>
      <c r="I96" s="29"/>
      <c r="J96" s="29"/>
      <c r="K96" s="29"/>
      <c r="L96" s="29"/>
      <c r="M96" s="29"/>
      <c r="N96" s="29"/>
      <c r="O96" s="178"/>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62"/>
      <c r="AP96" s="62"/>
      <c r="AQ96" s="62"/>
      <c r="AR96" s="62"/>
      <c r="AS96" s="62"/>
      <c r="AT96" s="62"/>
      <c r="AU96" s="62"/>
      <c r="AV96" s="62"/>
      <c r="AW96" s="62"/>
      <c r="AX96" s="62"/>
      <c r="AY96" s="62"/>
    </row>
    <row r="97" spans="1:51" s="27" customFormat="1" ht="13.8">
      <c r="A97" s="90" t="s">
        <v>30</v>
      </c>
      <c r="B97" s="407" t="s">
        <v>23</v>
      </c>
      <c r="C97" s="408"/>
      <c r="D97" s="407" t="s">
        <v>33</v>
      </c>
      <c r="E97" s="408"/>
      <c r="F97" s="91" t="s">
        <v>22</v>
      </c>
      <c r="G97" s="89"/>
      <c r="H97" s="29"/>
      <c r="I97" s="29"/>
      <c r="J97" s="29"/>
      <c r="K97" s="29"/>
      <c r="L97" s="29"/>
      <c r="M97" s="29"/>
      <c r="N97" s="29"/>
      <c r="O97" s="178"/>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62"/>
      <c r="AP97" s="62"/>
      <c r="AQ97" s="62"/>
      <c r="AR97" s="62"/>
      <c r="AS97" s="62"/>
      <c r="AT97" s="62"/>
      <c r="AU97" s="62"/>
      <c r="AV97" s="62"/>
      <c r="AW97" s="62"/>
      <c r="AX97" s="62"/>
      <c r="AY97" s="62"/>
    </row>
    <row r="98" spans="1:51" s="27" customFormat="1" ht="13.8">
      <c r="A98" s="92">
        <v>1</v>
      </c>
      <c r="B98" s="93">
        <v>2</v>
      </c>
      <c r="C98" s="93">
        <v>3</v>
      </c>
      <c r="D98" s="93">
        <v>4</v>
      </c>
      <c r="E98" s="92">
        <v>5</v>
      </c>
      <c r="F98" s="93">
        <v>6</v>
      </c>
      <c r="G98" s="89"/>
      <c r="H98" s="29"/>
      <c r="I98" s="29"/>
      <c r="J98" s="29"/>
      <c r="K98" s="29"/>
      <c r="L98" s="29"/>
      <c r="M98" s="29"/>
      <c r="N98" s="29"/>
      <c r="O98" s="178"/>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62"/>
      <c r="AP98" s="62"/>
      <c r="AQ98" s="62"/>
      <c r="AR98" s="62"/>
      <c r="AS98" s="62"/>
      <c r="AT98" s="62"/>
      <c r="AU98" s="62"/>
      <c r="AV98" s="62"/>
      <c r="AW98" s="62"/>
      <c r="AX98" s="62"/>
      <c r="AY98" s="62"/>
    </row>
    <row r="99" spans="1:51" s="27" customFormat="1" ht="13.8">
      <c r="A99" s="94"/>
      <c r="B99" s="93" t="s">
        <v>51</v>
      </c>
      <c r="C99" s="93" t="s">
        <v>31</v>
      </c>
      <c r="D99" s="93" t="s">
        <v>51</v>
      </c>
      <c r="E99" s="93" t="s">
        <v>31</v>
      </c>
      <c r="F99" s="92" t="s">
        <v>31</v>
      </c>
      <c r="G99" s="89"/>
      <c r="H99" s="29"/>
      <c r="I99" s="29"/>
      <c r="J99" s="29"/>
      <c r="K99" s="29"/>
      <c r="L99" s="29"/>
      <c r="M99" s="29"/>
      <c r="N99" s="29"/>
      <c r="O99" s="178"/>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62"/>
      <c r="AP99" s="62"/>
      <c r="AQ99" s="62"/>
      <c r="AR99" s="62"/>
      <c r="AS99" s="62"/>
      <c r="AT99" s="62"/>
      <c r="AU99" s="62"/>
      <c r="AV99" s="62"/>
      <c r="AW99" s="62"/>
      <c r="AX99" s="62"/>
      <c r="AY99" s="62"/>
    </row>
    <row r="100" spans="1:51" s="27" customFormat="1" ht="13.8">
      <c r="A100" s="95"/>
      <c r="B100" s="90">
        <v>2025</v>
      </c>
      <c r="C100" s="90">
        <v>2026</v>
      </c>
      <c r="D100" s="90" t="s">
        <v>187</v>
      </c>
      <c r="E100" s="90" t="s">
        <v>220</v>
      </c>
      <c r="F100" s="96"/>
      <c r="G100" s="89"/>
      <c r="H100" s="29"/>
      <c r="I100" s="29"/>
      <c r="J100" s="29"/>
      <c r="K100" s="29"/>
      <c r="L100" s="29"/>
      <c r="M100" s="29"/>
      <c r="N100" s="29"/>
      <c r="O100" s="178"/>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62"/>
      <c r="AP100" s="62"/>
      <c r="AQ100" s="62"/>
      <c r="AR100" s="62"/>
      <c r="AS100" s="62"/>
      <c r="AT100" s="62"/>
      <c r="AU100" s="62"/>
      <c r="AV100" s="62"/>
      <c r="AW100" s="62"/>
      <c r="AX100" s="62"/>
      <c r="AY100" s="62"/>
    </row>
    <row r="101" spans="1:51" s="27" customFormat="1" ht="13.8">
      <c r="A101" s="97" t="s">
        <v>156</v>
      </c>
      <c r="B101" s="99">
        <f ca="1">IF(INDIRECT(ADDRESS(ROW('1'!AK$29),COLUMN('1'!AA10)+ROW(A2)+$B$15,1,1,"1"))="","",INDIRECT(ADDRESS(ROW('1'!AK$29),COLUMN('1'!AA10)+ROW(A1)+$B$15,1,1,"1")))</f>
        <v>-125998.94214000006</v>
      </c>
      <c r="C101" s="99">
        <f ca="1">IF(INDIRECT(ADDRESS(ROW('1'!AK$29),COLUMN('1'!AA10)+ROW(A2)+$C$15,1,1,"1"))="","",INDIRECT(ADDRESS(ROW('1'!AK$29),COLUMN('1'!AA10)+ROW(A1)+$C$15,1,1,"1")))</f>
        <v>-250336.72837999999</v>
      </c>
      <c r="D101" s="99">
        <f>'1'!$DA$29*ROW(A1)/12</f>
        <v>-207351.57533333311</v>
      </c>
      <c r="E101" s="99">
        <f>'1'!$DI$29*ROW(A1)/12</f>
        <v>-194145.29310416678</v>
      </c>
      <c r="F101" s="99">
        <f ca="1">IFERROR(C101-E101,"")</f>
        <v>-56191.43527583321</v>
      </c>
      <c r="G101" s="89"/>
      <c r="H101" s="29"/>
      <c r="I101" s="29"/>
      <c r="J101" s="29"/>
      <c r="K101" s="29"/>
      <c r="L101" s="29"/>
      <c r="M101" s="29"/>
      <c r="N101" s="29"/>
      <c r="O101" s="178"/>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62"/>
      <c r="AP101" s="62"/>
      <c r="AQ101" s="62"/>
      <c r="AR101" s="62"/>
      <c r="AS101" s="62"/>
      <c r="AT101" s="62"/>
      <c r="AU101" s="62"/>
      <c r="AV101" s="62"/>
      <c r="AW101" s="62"/>
      <c r="AX101" s="62"/>
      <c r="AY101" s="62"/>
    </row>
    <row r="102" spans="1:51" s="27" customFormat="1" ht="13.8">
      <c r="A102" s="97" t="s">
        <v>157</v>
      </c>
      <c r="B102" s="99">
        <f ca="1">IF(INDIRECT(ADDRESS(ROW('1'!AK$29),COLUMN('1'!AA11)+ROW(A3)+$B$15,1,1,"1"))="","",INDIRECT(ADDRESS(ROW('1'!AK$29),COLUMN('1'!AA11)+ROW(A2)+$B$15,1,1,"1")))</f>
        <v>-273078.73288000003</v>
      </c>
      <c r="C102" s="99">
        <f ca="1">IF(INDIRECT(ADDRESS(ROW('1'!AK$29),COLUMN('1'!AA11)+ROW(A3)+$C$15,1,1,"1"))="","",INDIRECT(ADDRESS(ROW('1'!AK$29),COLUMN('1'!AA11)+ROW(A2)+$C$15,1,1,"1")))</f>
        <v>156006.38298999984</v>
      </c>
      <c r="D102" s="99">
        <f>'1'!$DA$29*ROW(A2)/12</f>
        <v>-414703.15066666622</v>
      </c>
      <c r="E102" s="99">
        <f>'1'!$DI$29*ROW(A2)/12</f>
        <v>-388290.58620833355</v>
      </c>
      <c r="F102" s="99">
        <f t="shared" ref="F102:F112" ca="1" si="16">IFERROR(C102-E102,"")</f>
        <v>544296.96919833333</v>
      </c>
      <c r="G102" s="89"/>
      <c r="H102" s="29"/>
      <c r="I102" s="29"/>
      <c r="J102" s="29"/>
      <c r="K102" s="29"/>
      <c r="L102" s="29"/>
      <c r="M102" s="29"/>
      <c r="N102" s="29"/>
      <c r="O102" s="178"/>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62"/>
      <c r="AP102" s="62"/>
      <c r="AQ102" s="62"/>
      <c r="AR102" s="62"/>
      <c r="AS102" s="62"/>
      <c r="AT102" s="62"/>
      <c r="AU102" s="62"/>
      <c r="AV102" s="62"/>
      <c r="AW102" s="62"/>
      <c r="AX102" s="62"/>
      <c r="AY102" s="62"/>
    </row>
    <row r="103" spans="1:51" s="27" customFormat="1" ht="13.8">
      <c r="A103" s="97" t="s">
        <v>158</v>
      </c>
      <c r="B103" s="99">
        <f ca="1">IF(INDIRECT(ADDRESS(ROW('1'!AK$29),COLUMN('1'!AA12)+ROW(A4)+$B$15,1,1,"1"))="","",INDIRECT(ADDRESS(ROW('1'!AK$29),COLUMN('1'!AA12)+ROW(A3)+$B$15,1,1,"1")))</f>
        <v>-767290.24922999926</v>
      </c>
      <c r="C103" s="99">
        <f ca="1">IF(INDIRECT(ADDRESS(ROW('1'!AK$29),COLUMN('1'!AA12)+ROW(A4)+$C$15,1,1,"1"))="","",INDIRECT(ADDRESS(ROW('1'!AK$29),COLUMN('1'!AA12)+ROW(A3)+$C$15,1,1,"1")))</f>
        <v>-272031.90470999992</v>
      </c>
      <c r="D103" s="99">
        <f>'1'!$DA$29*ROW(A3)/12</f>
        <v>-622054.72599999933</v>
      </c>
      <c r="E103" s="99">
        <f>'1'!$DI$29*ROW(A3)/12</f>
        <v>-582435.87931250036</v>
      </c>
      <c r="F103" s="99">
        <f t="shared" ca="1" si="16"/>
        <v>310403.97460250044</v>
      </c>
      <c r="G103" s="89"/>
      <c r="H103" s="29"/>
      <c r="I103" s="29"/>
      <c r="J103" s="29"/>
      <c r="K103" s="29"/>
      <c r="L103" s="29"/>
      <c r="M103" s="29"/>
      <c r="N103" s="29"/>
      <c r="O103" s="178"/>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62"/>
      <c r="AP103" s="62"/>
      <c r="AQ103" s="62"/>
      <c r="AR103" s="62"/>
      <c r="AS103" s="62"/>
      <c r="AT103" s="62"/>
      <c r="AU103" s="62"/>
      <c r="AV103" s="62"/>
      <c r="AW103" s="62"/>
      <c r="AX103" s="62"/>
      <c r="AY103" s="62"/>
    </row>
    <row r="104" spans="1:51" s="27" customFormat="1" ht="13.8">
      <c r="A104" s="97" t="s">
        <v>159</v>
      </c>
      <c r="B104" s="99">
        <f ca="1">IF(INDIRECT(ADDRESS(ROW('1'!AK$29),COLUMN('1'!AA13)+ROW(A5)+$B$15,1,1,"1"))="","",INDIRECT(ADDRESS(ROW('1'!AK$29),COLUMN('1'!AA13)+ROW(A4)+$B$15,1,1,"1")))</f>
        <v>-985219.2032999997</v>
      </c>
      <c r="C104" s="99">
        <f ca="1">IF(INDIRECT(ADDRESS(ROW('1'!AK$29),COLUMN('1'!AA13)+ROW(A5)+$C$15,1,1,"1"))="","",INDIRECT(ADDRESS(ROW('1'!AK$29),COLUMN('1'!AA13)+ROW(A4)+$C$15,1,1,"1")))</f>
        <v>-421228.49941000063</v>
      </c>
      <c r="D104" s="99">
        <f>'1'!$DA$29*ROW(A4)/12</f>
        <v>-829406.30133333243</v>
      </c>
      <c r="E104" s="99">
        <f>'1'!$DI$29*ROW(A4)/12</f>
        <v>-776581.1724166671</v>
      </c>
      <c r="F104" s="99">
        <f t="shared" ca="1" si="16"/>
        <v>355352.67300666647</v>
      </c>
      <c r="G104" s="89"/>
      <c r="H104" s="29"/>
      <c r="I104" s="29"/>
      <c r="J104" s="29"/>
      <c r="K104" s="29"/>
      <c r="L104" s="29"/>
      <c r="M104" s="29"/>
      <c r="N104" s="29"/>
      <c r="O104" s="178"/>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62"/>
      <c r="AP104" s="62"/>
      <c r="AQ104" s="62"/>
      <c r="AR104" s="62"/>
      <c r="AS104" s="62"/>
      <c r="AT104" s="62"/>
      <c r="AU104" s="62"/>
      <c r="AV104" s="62"/>
      <c r="AW104" s="62"/>
      <c r="AX104" s="62"/>
      <c r="AY104" s="62"/>
    </row>
    <row r="105" spans="1:51" s="27" customFormat="1" ht="13.8">
      <c r="A105" s="97" t="s">
        <v>160</v>
      </c>
      <c r="B105" s="99">
        <f ca="1">IF(INDIRECT(ADDRESS(ROW('1'!AK$29),COLUMN('1'!AA14)+ROW(A6)+$B$15,1,1,"1"))="","",INDIRECT(ADDRESS(ROW('1'!AK$29),COLUMN('1'!AA14)+ROW(A5)+$B$15,1,1,"1")))</f>
        <v>-757023.47642999981</v>
      </c>
      <c r="C105" s="99">
        <f ca="1">IF(INDIRECT(ADDRESS(ROW('1'!AK$29),COLUMN('1'!AA14)+ROW(A6)+$C$15,1,1,"1"))="","",INDIRECT(ADDRESS(ROW('1'!AK$29),COLUMN('1'!AA14)+ROW(A5)+$C$15,1,1,"1")))</f>
        <v>-206142.10567999911</v>
      </c>
      <c r="D105" s="99">
        <f>'1'!$DA$29*ROW(A5)/12</f>
        <v>-1036757.8766666655</v>
      </c>
      <c r="E105" s="99">
        <f>'1'!$DI$29*ROW(A5)/12</f>
        <v>-970726.46552083397</v>
      </c>
      <c r="F105" s="99">
        <f t="shared" ca="1" si="16"/>
        <v>764584.35984083486</v>
      </c>
      <c r="G105" s="89"/>
      <c r="H105" s="29"/>
      <c r="I105" s="29"/>
      <c r="J105" s="29"/>
      <c r="K105" s="29"/>
      <c r="L105" s="29"/>
      <c r="M105" s="29"/>
      <c r="N105" s="29"/>
      <c r="O105" s="178"/>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62"/>
      <c r="AP105" s="62"/>
      <c r="AQ105" s="62"/>
      <c r="AR105" s="62"/>
      <c r="AS105" s="62"/>
      <c r="AT105" s="62"/>
      <c r="AU105" s="62"/>
      <c r="AV105" s="62"/>
      <c r="AW105" s="62"/>
      <c r="AX105" s="62"/>
      <c r="AY105" s="62"/>
    </row>
    <row r="106" spans="1:51" s="27" customFormat="1" ht="13.8">
      <c r="A106" s="97" t="s">
        <v>161</v>
      </c>
      <c r="B106" s="99">
        <f ca="1">IF(INDIRECT(ADDRESS(ROW('1'!AK$29),COLUMN('1'!AA15)+ROW(A7)+$B$15,1,1,"1"))="","",INDIRECT(ADDRESS(ROW('1'!AK$29),COLUMN('1'!AA15)+ROW(A6)+$B$15,1,1,"1")))</f>
        <v>-692882.08487999998</v>
      </c>
      <c r="C106" s="99">
        <f ca="1">IF(INDIRECT(ADDRESS(ROW('1'!AK$29),COLUMN('1'!AA15)+ROW(A7)+$C$15,1,1,"1"))="","",INDIRECT(ADDRESS(ROW('1'!AK$29),COLUMN('1'!AA15)+ROW(A6)+$C$15,1,1,"1")))</f>
        <v>-176686.95756000001</v>
      </c>
      <c r="D106" s="99">
        <f>'1'!$DA$29*ROW(A6)/12</f>
        <v>-1244109.4519999987</v>
      </c>
      <c r="E106" s="99">
        <f>'1'!$DI$29*ROW(A6)/12</f>
        <v>-1164871.7586250007</v>
      </c>
      <c r="F106" s="99">
        <f t="shared" ca="1" si="16"/>
        <v>988184.80106500071</v>
      </c>
      <c r="G106" s="89"/>
      <c r="H106" s="29"/>
      <c r="I106" s="29"/>
      <c r="J106" s="29"/>
      <c r="K106" s="29"/>
      <c r="L106" s="29"/>
      <c r="M106" s="29"/>
      <c r="N106" s="29"/>
      <c r="O106" s="178"/>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62"/>
      <c r="AP106" s="62"/>
      <c r="AQ106" s="62"/>
      <c r="AR106" s="62"/>
      <c r="AS106" s="62"/>
      <c r="AT106" s="62"/>
      <c r="AU106" s="62"/>
      <c r="AV106" s="62"/>
      <c r="AW106" s="62"/>
      <c r="AX106" s="62"/>
      <c r="AY106" s="62"/>
    </row>
    <row r="107" spans="1:51" s="27" customFormat="1" ht="13.8">
      <c r="A107" s="97" t="s">
        <v>162</v>
      </c>
      <c r="B107" s="99">
        <f ca="1">IF(INDIRECT(ADDRESS(ROW('1'!AK$29),COLUMN('1'!AA16)+ROW(A8)+$B$15,1,1,"1"))="","",INDIRECT(ADDRESS(ROW('1'!AK$29),COLUMN('1'!AA16)+ROW(A7)+$B$15,1,1,"1")))</f>
        <v>-887129.45842000004</v>
      </c>
      <c r="C107" s="99">
        <f ca="1">IF(INDIRECT(ADDRESS(ROW('1'!AK$29),COLUMN('1'!AA16)+ROW(A8)+$C$15,1,1,"1"))="","",INDIRECT(ADDRESS(ROW('1'!AK$29),COLUMN('1'!AA16)+ROW(A7)+$C$15,1,1,"1")))</f>
        <v>-413083.07550999988</v>
      </c>
      <c r="D107" s="99">
        <f>'1'!$DA$29*ROW(A7)/12</f>
        <v>-1451461.0273333315</v>
      </c>
      <c r="E107" s="99">
        <f>'1'!$DI$29*ROW(A7)/12</f>
        <v>-1359017.0517291676</v>
      </c>
      <c r="F107" s="99">
        <f t="shared" ca="1" si="16"/>
        <v>945933.9762191677</v>
      </c>
      <c r="G107" s="89"/>
      <c r="H107" s="29"/>
      <c r="I107" s="29"/>
      <c r="J107" s="29"/>
      <c r="K107" s="29"/>
      <c r="L107" s="29"/>
      <c r="M107" s="29"/>
      <c r="N107" s="29"/>
      <c r="O107" s="178"/>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62"/>
      <c r="AP107" s="62"/>
      <c r="AQ107" s="62"/>
      <c r="AR107" s="62"/>
      <c r="AS107" s="62"/>
      <c r="AT107" s="62"/>
      <c r="AU107" s="62"/>
      <c r="AV107" s="62"/>
      <c r="AW107" s="62"/>
      <c r="AX107" s="62"/>
      <c r="AY107" s="62"/>
    </row>
    <row r="108" spans="1:51" s="27" customFormat="1" ht="13.8">
      <c r="A108" s="97" t="s">
        <v>163</v>
      </c>
      <c r="B108" s="99">
        <f ca="1">IF(INDIRECT(ADDRESS(ROW('1'!AK$29),COLUMN('1'!AA17)+ROW(A9)+$B$15,1,1,"1"))="","",INDIRECT(ADDRESS(ROW('1'!AK$29),COLUMN('1'!AA17)+ROW(A8)+$B$15,1,1,"1")))</f>
        <v>-811578.87555000093</v>
      </c>
      <c r="C108" s="99" t="str">
        <f ca="1">IF(INDIRECT(ADDRESS(ROW('1'!AK$29),COLUMN('1'!AA17)+ROW(A9)+$C$15,1,1,"1"))="","",INDIRECT(ADDRESS(ROW('1'!AK$29),COLUMN('1'!AA17)+ROW(A8)+$C$15,1,1,"1")))</f>
        <v/>
      </c>
      <c r="D108" s="99">
        <f>'1'!$DA$29*ROW(A8)/12</f>
        <v>-1658812.6026666649</v>
      </c>
      <c r="E108" s="99">
        <f>'1'!$DI$29*ROW(A8)/12</f>
        <v>-1553162.3448333342</v>
      </c>
      <c r="F108" s="99" t="str">
        <f t="shared" ca="1" si="16"/>
        <v/>
      </c>
      <c r="G108" s="89"/>
      <c r="H108" s="29"/>
      <c r="I108" s="29"/>
      <c r="J108" s="29"/>
      <c r="K108" s="29"/>
      <c r="L108" s="29"/>
      <c r="M108" s="29"/>
      <c r="N108" s="29"/>
      <c r="O108" s="178"/>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62"/>
      <c r="AP108" s="62"/>
      <c r="AQ108" s="62"/>
      <c r="AR108" s="62"/>
      <c r="AS108" s="62"/>
      <c r="AT108" s="62"/>
      <c r="AU108" s="62"/>
      <c r="AV108" s="62"/>
      <c r="AW108" s="62"/>
      <c r="AX108" s="62"/>
      <c r="AY108" s="62"/>
    </row>
    <row r="109" spans="1:51" s="27" customFormat="1" ht="13.8">
      <c r="A109" s="97" t="s">
        <v>164</v>
      </c>
      <c r="B109" s="99">
        <f ca="1">IF(INDIRECT(ADDRESS(ROW('1'!AK$29),COLUMN('1'!AA18)+ROW(A10)+$B$15,1,1,"1"))="","",INDIRECT(ADDRESS(ROW('1'!AK$29),COLUMN('1'!AA18)+ROW(A9)+$B$15,1,1,"1")))</f>
        <v>-1110222.2715500006</v>
      </c>
      <c r="C109" s="99" t="str">
        <f ca="1">IF(INDIRECT(ADDRESS(ROW('1'!AK$29),COLUMN('1'!AA18)+ROW(A10)+$C$15,1,1,"1"))="","",INDIRECT(ADDRESS(ROW('1'!AK$29),COLUMN('1'!AA18)+ROW(A9)+$C$15,1,1,"1")))</f>
        <v/>
      </c>
      <c r="D109" s="99">
        <f>'1'!$DA$29*ROW(A9)/12</f>
        <v>-1866164.1779999982</v>
      </c>
      <c r="E109" s="99">
        <f>'1'!$DI$29*ROW(A9)/12</f>
        <v>-1747307.6379375011</v>
      </c>
      <c r="F109" s="99" t="str">
        <f t="shared" ca="1" si="16"/>
        <v/>
      </c>
      <c r="G109" s="89"/>
      <c r="H109" s="29"/>
      <c r="I109" s="29"/>
      <c r="J109" s="29"/>
      <c r="K109" s="29"/>
      <c r="L109" s="29"/>
      <c r="M109" s="29"/>
      <c r="N109" s="29"/>
      <c r="O109" s="178"/>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62"/>
      <c r="AP109" s="62"/>
      <c r="AQ109" s="62"/>
      <c r="AR109" s="62"/>
      <c r="AS109" s="62"/>
      <c r="AT109" s="62"/>
      <c r="AU109" s="62"/>
      <c r="AV109" s="62"/>
      <c r="AW109" s="62"/>
      <c r="AX109" s="62"/>
      <c r="AY109" s="62"/>
    </row>
    <row r="110" spans="1:51" s="27" customFormat="1" ht="13.8">
      <c r="A110" s="97" t="s">
        <v>165</v>
      </c>
      <c r="B110" s="99">
        <f ca="1">IF(INDIRECT(ADDRESS(ROW('1'!AK$29),COLUMN('1'!AA19)+ROW(A11)+$B$15,1,1,"1"))="","",INDIRECT(ADDRESS(ROW('1'!AK$29),COLUMN('1'!AA19)+ROW(A10)+$B$15,1,1,"1")))</f>
        <v>-1464583.6548000006</v>
      </c>
      <c r="C110" s="99" t="str">
        <f ca="1">IF(INDIRECT(ADDRESS(ROW('1'!AK$29),COLUMN('1'!AA19)+ROW(A11)+$C$15,1,1,"1"))="","",INDIRECT(ADDRESS(ROW('1'!AK$29),COLUMN('1'!AA19)+ROW(A10)+$C$15,1,1,"1")))</f>
        <v/>
      </c>
      <c r="D110" s="99">
        <f>'1'!$DA$29*ROW(A10)/12</f>
        <v>-2073515.7533333311</v>
      </c>
      <c r="E110" s="99">
        <f>'1'!$DI$29*ROW(A10)/12</f>
        <v>-1941452.9310416679</v>
      </c>
      <c r="F110" s="99" t="str">
        <f t="shared" ca="1" si="16"/>
        <v/>
      </c>
      <c r="G110" s="89"/>
      <c r="H110" s="29"/>
      <c r="I110" s="29"/>
      <c r="J110" s="29"/>
      <c r="K110" s="29"/>
      <c r="L110" s="29"/>
      <c r="M110" s="29"/>
      <c r="N110" s="29"/>
      <c r="O110" s="178"/>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62"/>
      <c r="AP110" s="62"/>
      <c r="AQ110" s="62"/>
      <c r="AR110" s="62"/>
      <c r="AS110" s="62"/>
      <c r="AT110" s="62"/>
      <c r="AU110" s="62"/>
      <c r="AV110" s="62"/>
      <c r="AW110" s="62"/>
      <c r="AX110" s="62"/>
      <c r="AY110" s="62"/>
    </row>
    <row r="111" spans="1:51" s="27" customFormat="1" ht="13.8">
      <c r="A111" s="97" t="s">
        <v>166</v>
      </c>
      <c r="B111" s="99">
        <f ca="1">IF(INDIRECT(ADDRESS(ROW('1'!AK$29),COLUMN('1'!AA20)+ROW(A12)+$B$15,1,1,"1"))="","",INDIRECT(ADDRESS(ROW('1'!AK$29),COLUMN('1'!AA20)+ROW(A11)+$B$15,1,1,"1")))</f>
        <v>-1688408.2127600014</v>
      </c>
      <c r="C111" s="99" t="str">
        <f ca="1">IF(INDIRECT(ADDRESS(ROW('1'!AK$29),COLUMN('1'!AA20)+ROW(A12)+$C$15,1,1,"1"))="","",INDIRECT(ADDRESS(ROW('1'!AK$29),COLUMN('1'!AA20)+ROW(A11)+$C$15,1,1,"1")))</f>
        <v/>
      </c>
      <c r="D111" s="99">
        <f>'1'!$DA$29*ROW(A11)/12</f>
        <v>-2280867.3286666642</v>
      </c>
      <c r="E111" s="99">
        <f>'1'!$DI$29*ROW(A11)/12</f>
        <v>-2135598.2241458348</v>
      </c>
      <c r="F111" s="99" t="str">
        <f t="shared" ca="1" si="16"/>
        <v/>
      </c>
      <c r="G111" s="89"/>
      <c r="H111" s="29"/>
      <c r="I111" s="29"/>
      <c r="J111" s="29"/>
      <c r="K111" s="29"/>
      <c r="L111" s="29"/>
      <c r="M111" s="29"/>
      <c r="N111" s="29"/>
      <c r="O111" s="178"/>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62"/>
      <c r="AP111" s="62"/>
      <c r="AQ111" s="62"/>
      <c r="AR111" s="62"/>
      <c r="AS111" s="62"/>
      <c r="AT111" s="62"/>
      <c r="AU111" s="62"/>
      <c r="AV111" s="62"/>
      <c r="AW111" s="62"/>
      <c r="AX111" s="62"/>
      <c r="AY111" s="62"/>
    </row>
    <row r="112" spans="1:51" s="27" customFormat="1" ht="13.8">
      <c r="A112" s="97" t="s">
        <v>167</v>
      </c>
      <c r="B112" s="99">
        <f ca="1">IF(INDIRECT(ADDRESS(ROW('1'!AK$29),COLUMN('1'!AA21)+ROW(A13)+$B$15,1,1,"1"))="","",INDIRECT(ADDRESS(ROW('1'!AK$29),COLUMN('1'!AA21)+ROW(A12)+$B$15,1,1,"1")))</f>
        <v>-2222162.9883600008</v>
      </c>
      <c r="C112" s="99" t="str">
        <f ca="1">IF(INDIRECT(ADDRESS(ROW('1'!AK$29),COLUMN('1'!AA21)+ROW(A13)+$C$15,1,1,"1"))="","",INDIRECT(ADDRESS(ROW('1'!AK$29),COLUMN('1'!AA21)+ROW(A12)+$C$15,1,1,"1")))</f>
        <v/>
      </c>
      <c r="D112" s="99">
        <f>'1'!$DA$29*ROW(A12)/12</f>
        <v>-2488218.9039999973</v>
      </c>
      <c r="E112" s="99">
        <f>'1'!$DI$29*ROW(A12)/12</f>
        <v>-2329743.5172500014</v>
      </c>
      <c r="F112" s="99" t="str">
        <f t="shared" ca="1" si="16"/>
        <v/>
      </c>
      <c r="G112" s="89"/>
      <c r="H112" s="29"/>
      <c r="I112" s="29"/>
      <c r="J112" s="29"/>
      <c r="K112" s="29"/>
      <c r="L112" s="29"/>
      <c r="M112" s="29"/>
      <c r="N112" s="29"/>
      <c r="O112" s="178"/>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62"/>
      <c r="AP112" s="62"/>
      <c r="AQ112" s="62"/>
      <c r="AR112" s="62"/>
      <c r="AS112" s="62"/>
      <c r="AT112" s="62"/>
      <c r="AU112" s="62"/>
      <c r="AV112" s="62"/>
      <c r="AW112" s="62"/>
      <c r="AX112" s="62"/>
      <c r="AY112" s="62"/>
    </row>
    <row r="113" spans="1:51" s="27" customFormat="1" ht="13.8">
      <c r="A113" s="89"/>
      <c r="B113" s="89"/>
      <c r="C113" s="89"/>
      <c r="D113" s="89"/>
      <c r="E113" s="89"/>
      <c r="F113" s="89"/>
      <c r="G113" s="89"/>
      <c r="H113" s="29"/>
      <c r="I113" s="29"/>
      <c r="J113" s="29"/>
      <c r="K113" s="29"/>
      <c r="L113" s="29"/>
      <c r="M113" s="29"/>
      <c r="N113" s="29"/>
      <c r="O113" s="178"/>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62"/>
      <c r="AP113" s="62"/>
      <c r="AQ113" s="62"/>
      <c r="AR113" s="62"/>
      <c r="AS113" s="62"/>
      <c r="AT113" s="62"/>
      <c r="AU113" s="62"/>
      <c r="AV113" s="62"/>
      <c r="AW113" s="62"/>
      <c r="AX113" s="62"/>
      <c r="AY113" s="62"/>
    </row>
    <row r="114" spans="1:51" s="27" customFormat="1" ht="13.8">
      <c r="A114" s="89"/>
      <c r="B114" s="89"/>
      <c r="C114" s="89"/>
      <c r="D114" s="89"/>
      <c r="E114" s="89"/>
      <c r="F114" s="89"/>
      <c r="G114" s="89"/>
      <c r="H114" s="29"/>
      <c r="I114" s="29"/>
      <c r="J114" s="29"/>
      <c r="K114" s="29"/>
      <c r="L114" s="29"/>
      <c r="M114" s="29"/>
      <c r="N114" s="29"/>
      <c r="O114" s="178"/>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62"/>
      <c r="AP114" s="62"/>
      <c r="AQ114" s="62"/>
      <c r="AR114" s="62"/>
      <c r="AS114" s="62"/>
      <c r="AT114" s="62"/>
      <c r="AU114" s="62"/>
      <c r="AV114" s="62"/>
      <c r="AW114" s="62"/>
      <c r="AX114" s="62"/>
      <c r="AY114" s="62"/>
    </row>
    <row r="115" spans="1:51" s="27" customFormat="1" ht="13.8">
      <c r="A115" s="89"/>
      <c r="B115" s="89"/>
      <c r="C115" s="89"/>
      <c r="D115" s="89"/>
      <c r="E115" s="89"/>
      <c r="F115" s="89"/>
      <c r="G115" s="89"/>
      <c r="H115" s="29"/>
      <c r="I115" s="29"/>
      <c r="J115" s="29"/>
      <c r="K115" s="29"/>
      <c r="L115" s="29"/>
      <c r="M115" s="29"/>
      <c r="N115" s="29"/>
      <c r="O115" s="178"/>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62"/>
      <c r="AP115" s="62"/>
      <c r="AQ115" s="62"/>
      <c r="AR115" s="62"/>
      <c r="AS115" s="62"/>
      <c r="AT115" s="62"/>
      <c r="AU115" s="62"/>
      <c r="AV115" s="62"/>
      <c r="AW115" s="62"/>
      <c r="AX115" s="62"/>
      <c r="AY115" s="62"/>
    </row>
    <row r="116" spans="1:51" s="27" customFormat="1" ht="13.8">
      <c r="A116" s="89"/>
      <c r="B116" s="89"/>
      <c r="C116" s="89"/>
      <c r="D116" s="89"/>
      <c r="E116" s="89"/>
      <c r="F116" s="89"/>
      <c r="G116" s="89"/>
      <c r="H116" s="29"/>
      <c r="I116" s="29"/>
      <c r="J116" s="29"/>
      <c r="K116" s="29"/>
      <c r="L116" s="29"/>
      <c r="M116" s="29"/>
      <c r="N116" s="29"/>
      <c r="O116" s="178"/>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62"/>
      <c r="AP116" s="62"/>
      <c r="AQ116" s="62"/>
      <c r="AR116" s="62"/>
      <c r="AS116" s="62"/>
      <c r="AT116" s="62"/>
      <c r="AU116" s="62"/>
      <c r="AV116" s="62"/>
      <c r="AW116" s="62"/>
      <c r="AX116" s="62"/>
      <c r="AY116" s="62"/>
    </row>
    <row r="117" spans="1:51" s="27" customFormat="1" ht="13.8">
      <c r="A117" s="89"/>
      <c r="B117" s="89"/>
      <c r="C117" s="89"/>
      <c r="D117" s="89"/>
      <c r="E117" s="89"/>
      <c r="F117" s="89"/>
      <c r="G117" s="89"/>
      <c r="H117" s="29"/>
      <c r="I117" s="29"/>
      <c r="J117" s="29"/>
      <c r="K117" s="29"/>
      <c r="L117" s="29"/>
      <c r="M117" s="29"/>
      <c r="N117" s="29"/>
      <c r="O117" s="178"/>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62"/>
      <c r="AP117" s="62"/>
      <c r="AQ117" s="62"/>
      <c r="AR117" s="62"/>
      <c r="AS117" s="62"/>
      <c r="AT117" s="62"/>
      <c r="AU117" s="62"/>
      <c r="AV117" s="62"/>
      <c r="AW117" s="62"/>
      <c r="AX117" s="62"/>
      <c r="AY117" s="62"/>
    </row>
    <row r="118" spans="1:51" s="27" customFormat="1" ht="13.8">
      <c r="A118" s="89"/>
      <c r="B118" s="89"/>
      <c r="C118" s="89"/>
      <c r="D118" s="89"/>
      <c r="E118" s="89"/>
      <c r="F118" s="89"/>
      <c r="G118" s="89"/>
      <c r="H118" s="29"/>
      <c r="I118" s="29"/>
      <c r="J118" s="29"/>
      <c r="K118" s="29"/>
      <c r="L118" s="29"/>
      <c r="M118" s="29"/>
      <c r="N118" s="29"/>
      <c r="O118" s="178"/>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62"/>
      <c r="AP118" s="62"/>
      <c r="AQ118" s="62"/>
      <c r="AR118" s="62"/>
      <c r="AS118" s="62"/>
      <c r="AT118" s="62"/>
      <c r="AU118" s="62"/>
      <c r="AV118" s="62"/>
      <c r="AW118" s="62"/>
      <c r="AX118" s="62"/>
      <c r="AY118" s="62"/>
    </row>
    <row r="119" spans="1:51" s="27" customFormat="1" ht="13.8">
      <c r="A119" s="89"/>
      <c r="B119" s="89"/>
      <c r="C119" s="89"/>
      <c r="D119" s="89"/>
      <c r="E119" s="89"/>
      <c r="F119" s="89"/>
      <c r="G119" s="89"/>
      <c r="H119" s="29"/>
      <c r="I119" s="29"/>
      <c r="J119" s="29"/>
      <c r="K119" s="29"/>
      <c r="L119" s="29"/>
      <c r="M119" s="29"/>
      <c r="N119" s="29"/>
      <c r="O119" s="178"/>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62"/>
      <c r="AP119" s="62"/>
      <c r="AQ119" s="62"/>
      <c r="AR119" s="62"/>
      <c r="AS119" s="62"/>
      <c r="AT119" s="62"/>
      <c r="AU119" s="62"/>
      <c r="AV119" s="62"/>
      <c r="AW119" s="62"/>
      <c r="AX119" s="62"/>
      <c r="AY119" s="62"/>
    </row>
    <row r="120" spans="1:51" s="27" customFormat="1" ht="13.8">
      <c r="A120" s="89"/>
      <c r="B120" s="89"/>
      <c r="C120" s="89"/>
      <c r="D120" s="89"/>
      <c r="E120" s="89"/>
      <c r="F120" s="89"/>
      <c r="G120" s="89"/>
      <c r="H120" s="29"/>
      <c r="I120" s="29"/>
      <c r="J120" s="29"/>
      <c r="K120" s="29"/>
      <c r="L120" s="29"/>
      <c r="M120" s="29"/>
      <c r="N120" s="29"/>
      <c r="O120" s="178"/>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62"/>
      <c r="AP120" s="62"/>
      <c r="AQ120" s="62"/>
      <c r="AR120" s="62"/>
      <c r="AS120" s="62"/>
      <c r="AT120" s="62"/>
      <c r="AU120" s="62"/>
      <c r="AV120" s="62"/>
      <c r="AW120" s="62"/>
      <c r="AX120" s="62"/>
      <c r="AY120" s="62"/>
    </row>
    <row r="121" spans="1:51" s="27" customFormat="1" ht="13.8">
      <c r="A121" s="89"/>
      <c r="B121" s="89"/>
      <c r="C121" s="89"/>
      <c r="D121" s="89"/>
      <c r="E121" s="89"/>
      <c r="F121" s="89"/>
      <c r="G121" s="89"/>
      <c r="H121" s="29"/>
      <c r="I121" s="29"/>
      <c r="J121" s="29"/>
      <c r="K121" s="29"/>
      <c r="L121" s="29"/>
      <c r="M121" s="29"/>
      <c r="N121" s="29"/>
      <c r="O121" s="178"/>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62"/>
      <c r="AP121" s="62"/>
      <c r="AQ121" s="62"/>
      <c r="AR121" s="62"/>
      <c r="AS121" s="62"/>
      <c r="AT121" s="62"/>
      <c r="AU121" s="62"/>
      <c r="AV121" s="62"/>
      <c r="AW121" s="62"/>
      <c r="AX121" s="62"/>
      <c r="AY121" s="62"/>
    </row>
    <row r="122" spans="1:51" s="27" customFormat="1" ht="13.8">
      <c r="A122" s="89"/>
      <c r="B122" s="89"/>
      <c r="C122" s="89"/>
      <c r="D122" s="89"/>
      <c r="E122" s="89"/>
      <c r="F122" s="89"/>
      <c r="G122" s="89"/>
      <c r="H122" s="29"/>
      <c r="I122" s="29"/>
      <c r="J122" s="29"/>
      <c r="K122" s="29"/>
      <c r="L122" s="29"/>
      <c r="M122" s="29"/>
      <c r="N122" s="29"/>
      <c r="O122" s="178"/>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62"/>
      <c r="AP122" s="62"/>
      <c r="AQ122" s="62"/>
      <c r="AR122" s="62"/>
      <c r="AS122" s="62"/>
      <c r="AT122" s="62"/>
      <c r="AU122" s="62"/>
      <c r="AV122" s="62"/>
      <c r="AW122" s="62"/>
      <c r="AX122" s="62"/>
      <c r="AY122" s="62"/>
    </row>
    <row r="123" spans="1:51" s="27" customFormat="1" ht="13.8">
      <c r="A123" s="89"/>
      <c r="B123" s="89"/>
      <c r="C123" s="89"/>
      <c r="D123" s="89"/>
      <c r="E123" s="89"/>
      <c r="F123" s="89"/>
      <c r="G123" s="89"/>
      <c r="H123" s="29"/>
      <c r="I123" s="29"/>
      <c r="J123" s="29"/>
      <c r="K123" s="29"/>
      <c r="L123" s="29"/>
      <c r="M123" s="29"/>
      <c r="N123" s="29"/>
      <c r="O123" s="178"/>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62"/>
      <c r="AP123" s="62"/>
      <c r="AQ123" s="62"/>
      <c r="AR123" s="62"/>
      <c r="AS123" s="62"/>
      <c r="AT123" s="62"/>
      <c r="AU123" s="62"/>
      <c r="AV123" s="62"/>
      <c r="AW123" s="62"/>
      <c r="AX123" s="62"/>
      <c r="AY123" s="62"/>
    </row>
    <row r="124" spans="1:51" s="27" customFormat="1" ht="13.8">
      <c r="A124" s="89"/>
      <c r="B124" s="89"/>
      <c r="C124" s="89"/>
      <c r="D124" s="89"/>
      <c r="E124" s="89"/>
      <c r="F124" s="89"/>
      <c r="G124" s="89"/>
      <c r="H124" s="29"/>
      <c r="I124" s="29"/>
      <c r="J124" s="29"/>
      <c r="K124" s="29"/>
      <c r="L124" s="29"/>
      <c r="M124" s="29"/>
      <c r="N124" s="29"/>
      <c r="O124" s="178"/>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62"/>
      <c r="AP124" s="62"/>
      <c r="AQ124" s="62"/>
      <c r="AR124" s="62"/>
      <c r="AS124" s="62"/>
      <c r="AT124" s="62"/>
      <c r="AU124" s="62"/>
      <c r="AV124" s="62"/>
      <c r="AW124" s="62"/>
      <c r="AX124" s="62"/>
      <c r="AY124" s="62"/>
    </row>
    <row r="125" spans="1:51" s="27" customFormat="1" ht="13.8">
      <c r="A125" s="89"/>
      <c r="B125" s="89"/>
      <c r="C125" s="89"/>
      <c r="D125" s="89"/>
      <c r="E125" s="89"/>
      <c r="F125" s="89"/>
      <c r="G125" s="89"/>
      <c r="H125" s="29"/>
      <c r="I125" s="29"/>
      <c r="J125" s="29"/>
      <c r="K125" s="29"/>
      <c r="L125" s="29"/>
      <c r="M125" s="29"/>
      <c r="N125" s="29"/>
      <c r="O125" s="178"/>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62"/>
      <c r="AP125" s="62"/>
      <c r="AQ125" s="62"/>
      <c r="AR125" s="62"/>
      <c r="AS125" s="62"/>
      <c r="AT125" s="62"/>
      <c r="AU125" s="62"/>
      <c r="AV125" s="62"/>
      <c r="AW125" s="62"/>
      <c r="AX125" s="62"/>
      <c r="AY125" s="62"/>
    </row>
    <row r="126" spans="1:51" s="27" customFormat="1" ht="13.8">
      <c r="A126" s="89"/>
      <c r="B126" s="89"/>
      <c r="C126" s="89"/>
      <c r="D126" s="89"/>
      <c r="E126" s="89"/>
      <c r="F126" s="89"/>
      <c r="G126" s="89"/>
      <c r="H126" s="29"/>
      <c r="I126" s="29"/>
      <c r="J126" s="29"/>
      <c r="K126" s="29"/>
      <c r="L126" s="29"/>
      <c r="M126" s="29"/>
      <c r="N126" s="29"/>
      <c r="O126" s="178"/>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62"/>
      <c r="AP126" s="62"/>
      <c r="AQ126" s="62"/>
      <c r="AR126" s="62"/>
      <c r="AS126" s="62"/>
      <c r="AT126" s="62"/>
      <c r="AU126" s="62"/>
      <c r="AV126" s="62"/>
      <c r="AW126" s="62"/>
      <c r="AX126" s="62"/>
      <c r="AY126" s="62"/>
    </row>
    <row r="127" spans="1:51" s="27" customFormat="1" ht="13.8">
      <c r="A127" s="89"/>
      <c r="B127" s="89"/>
      <c r="C127" s="89"/>
      <c r="D127" s="89"/>
      <c r="E127" s="89"/>
      <c r="F127" s="89"/>
      <c r="G127" s="89"/>
      <c r="H127" s="29"/>
      <c r="I127" s="29"/>
      <c r="J127" s="29"/>
      <c r="K127" s="29"/>
      <c r="L127" s="29"/>
      <c r="M127" s="29"/>
      <c r="N127" s="29"/>
      <c r="O127" s="178"/>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62"/>
      <c r="AP127" s="62"/>
      <c r="AQ127" s="62"/>
      <c r="AR127" s="62"/>
      <c r="AS127" s="62"/>
      <c r="AT127" s="62"/>
      <c r="AU127" s="62"/>
      <c r="AV127" s="62"/>
      <c r="AW127" s="62"/>
      <c r="AX127" s="62"/>
      <c r="AY127" s="62"/>
    </row>
    <row r="128" spans="1:51" s="27" customFormat="1" ht="13.8">
      <c r="A128" s="89"/>
      <c r="B128" s="89"/>
      <c r="C128" s="89"/>
      <c r="D128" s="89"/>
      <c r="E128" s="89"/>
      <c r="F128" s="89"/>
      <c r="G128" s="89"/>
      <c r="H128" s="29"/>
      <c r="I128" s="29"/>
      <c r="J128" s="29"/>
      <c r="K128" s="29"/>
      <c r="L128" s="29"/>
      <c r="M128" s="29"/>
      <c r="N128" s="29"/>
      <c r="O128" s="178"/>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62"/>
      <c r="AP128" s="62"/>
      <c r="AQ128" s="62"/>
      <c r="AR128" s="62"/>
      <c r="AS128" s="62"/>
      <c r="AT128" s="62"/>
      <c r="AU128" s="62"/>
      <c r="AV128" s="62"/>
      <c r="AW128" s="62"/>
      <c r="AX128" s="62"/>
      <c r="AY128" s="62"/>
    </row>
    <row r="129" spans="1:51" s="27" customFormat="1" ht="13.8">
      <c r="A129" s="89"/>
      <c r="B129" s="89"/>
      <c r="C129" s="89"/>
      <c r="D129" s="89"/>
      <c r="E129" s="89"/>
      <c r="F129" s="89"/>
      <c r="G129" s="89"/>
      <c r="H129" s="29"/>
      <c r="I129" s="29"/>
      <c r="J129" s="29"/>
      <c r="K129" s="29"/>
      <c r="L129" s="29"/>
      <c r="M129" s="29"/>
      <c r="N129" s="29"/>
      <c r="O129" s="178"/>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62"/>
      <c r="AP129" s="62"/>
      <c r="AQ129" s="62"/>
      <c r="AR129" s="62"/>
      <c r="AS129" s="62"/>
      <c r="AT129" s="62"/>
      <c r="AU129" s="62"/>
      <c r="AV129" s="62"/>
      <c r="AW129" s="62"/>
      <c r="AX129" s="62"/>
      <c r="AY129" s="62"/>
    </row>
    <row r="130" spans="1:51" s="27" customFormat="1" ht="13.8">
      <c r="A130" s="89"/>
      <c r="B130" s="89"/>
      <c r="C130" s="89"/>
      <c r="D130" s="89"/>
      <c r="E130" s="89"/>
      <c r="F130" s="89"/>
      <c r="G130" s="89"/>
      <c r="H130" s="29"/>
      <c r="I130" s="29"/>
      <c r="J130" s="29"/>
      <c r="K130" s="29"/>
      <c r="L130" s="29"/>
      <c r="M130" s="29"/>
      <c r="N130" s="29"/>
      <c r="O130" s="178"/>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62"/>
      <c r="AP130" s="62"/>
      <c r="AQ130" s="62"/>
      <c r="AR130" s="62"/>
      <c r="AS130" s="62"/>
      <c r="AT130" s="62"/>
      <c r="AU130" s="62"/>
      <c r="AV130" s="62"/>
      <c r="AW130" s="62"/>
      <c r="AX130" s="62"/>
      <c r="AY130" s="62"/>
    </row>
    <row r="131" spans="1:51" s="27" customFormat="1" ht="13.8">
      <c r="A131" s="89"/>
      <c r="B131" s="89"/>
      <c r="C131" s="89"/>
      <c r="D131" s="89"/>
      <c r="E131" s="89"/>
      <c r="F131" s="89"/>
      <c r="G131" s="89"/>
      <c r="H131" s="29"/>
      <c r="I131" s="29"/>
      <c r="J131" s="29"/>
      <c r="K131" s="29"/>
      <c r="L131" s="29"/>
      <c r="M131" s="29"/>
      <c r="N131" s="29"/>
      <c r="O131" s="178"/>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62"/>
      <c r="AP131" s="62"/>
      <c r="AQ131" s="62"/>
      <c r="AR131" s="62"/>
      <c r="AS131" s="62"/>
      <c r="AT131" s="62"/>
      <c r="AU131" s="62"/>
      <c r="AV131" s="62"/>
      <c r="AW131" s="62"/>
      <c r="AX131" s="62"/>
      <c r="AY131" s="62"/>
    </row>
    <row r="132" spans="1:51" s="27" customFormat="1" ht="13.8">
      <c r="A132" s="89"/>
      <c r="B132" s="89"/>
      <c r="C132" s="89"/>
      <c r="D132" s="89"/>
      <c r="E132" s="89"/>
      <c r="F132" s="89"/>
      <c r="G132" s="89"/>
      <c r="H132" s="29"/>
      <c r="I132" s="29"/>
      <c r="J132" s="29"/>
      <c r="K132" s="29"/>
      <c r="L132" s="29"/>
      <c r="M132" s="29"/>
      <c r="N132" s="29"/>
      <c r="O132" s="178"/>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62"/>
      <c r="AP132" s="62"/>
      <c r="AQ132" s="62"/>
      <c r="AR132" s="62"/>
      <c r="AS132" s="62"/>
      <c r="AT132" s="62"/>
      <c r="AU132" s="62"/>
      <c r="AV132" s="62"/>
      <c r="AW132" s="62"/>
      <c r="AX132" s="62"/>
      <c r="AY132" s="62"/>
    </row>
    <row r="133" spans="1:51" s="27" customFormat="1" ht="13.8">
      <c r="A133" s="89"/>
      <c r="B133" s="89"/>
      <c r="C133" s="89"/>
      <c r="D133" s="89"/>
      <c r="E133" s="89"/>
      <c r="F133" s="89"/>
      <c r="G133" s="89"/>
      <c r="H133" s="29"/>
      <c r="I133" s="29"/>
      <c r="J133" s="29"/>
      <c r="K133" s="29"/>
      <c r="L133" s="29"/>
      <c r="M133" s="29"/>
      <c r="N133" s="29"/>
      <c r="O133" s="178"/>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62"/>
      <c r="AP133" s="62"/>
      <c r="AQ133" s="62"/>
      <c r="AR133" s="62"/>
      <c r="AS133" s="62"/>
      <c r="AT133" s="62"/>
      <c r="AU133" s="62"/>
      <c r="AV133" s="62"/>
      <c r="AW133" s="62"/>
      <c r="AX133" s="62"/>
      <c r="AY133" s="62"/>
    </row>
    <row r="134" spans="1:51" s="27" customFormat="1" ht="13.8">
      <c r="A134" s="89"/>
      <c r="B134" s="89"/>
      <c r="C134" s="89"/>
      <c r="D134" s="89"/>
      <c r="E134" s="89"/>
      <c r="F134" s="89"/>
      <c r="G134" s="89"/>
      <c r="H134" s="29"/>
      <c r="I134" s="29"/>
      <c r="J134" s="29"/>
      <c r="K134" s="29"/>
      <c r="L134" s="29"/>
      <c r="M134" s="29"/>
      <c r="N134" s="29"/>
      <c r="O134" s="178"/>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62"/>
      <c r="AP134" s="62"/>
      <c r="AQ134" s="62"/>
      <c r="AR134" s="62"/>
      <c r="AS134" s="62"/>
      <c r="AT134" s="62"/>
      <c r="AU134" s="62"/>
      <c r="AV134" s="62"/>
      <c r="AW134" s="62"/>
      <c r="AX134" s="62"/>
      <c r="AY134" s="62"/>
    </row>
    <row r="135" spans="1:51" s="27" customFormat="1" ht="13.8">
      <c r="A135" s="89"/>
      <c r="B135" s="89"/>
      <c r="C135" s="89"/>
      <c r="D135" s="89"/>
      <c r="E135" s="89"/>
      <c r="F135" s="89"/>
      <c r="G135" s="89"/>
      <c r="H135" s="29"/>
      <c r="I135" s="29"/>
      <c r="J135" s="29"/>
      <c r="K135" s="29"/>
      <c r="L135" s="29"/>
      <c r="M135" s="29"/>
      <c r="N135" s="29"/>
      <c r="O135" s="178"/>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62"/>
      <c r="AP135" s="62"/>
      <c r="AQ135" s="62"/>
      <c r="AR135" s="62"/>
      <c r="AS135" s="62"/>
      <c r="AT135" s="62"/>
      <c r="AU135" s="62"/>
      <c r="AV135" s="62"/>
      <c r="AW135" s="62"/>
      <c r="AX135" s="62"/>
      <c r="AY135" s="62"/>
    </row>
    <row r="136" spans="1:51" s="27" customFormat="1" ht="13.8" hidden="1">
      <c r="A136" s="404" t="s">
        <v>60</v>
      </c>
      <c r="B136" s="405"/>
      <c r="C136" s="405"/>
      <c r="D136" s="405"/>
      <c r="E136" s="405"/>
      <c r="F136" s="406"/>
      <c r="G136" s="89"/>
      <c r="H136" s="29"/>
      <c r="I136" s="29"/>
      <c r="J136" s="29"/>
      <c r="K136" s="29"/>
      <c r="L136" s="29"/>
      <c r="M136" s="29"/>
      <c r="N136" s="29"/>
      <c r="O136" s="178"/>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62"/>
      <c r="AP136" s="62"/>
      <c r="AQ136" s="62"/>
      <c r="AR136" s="62"/>
      <c r="AS136" s="62"/>
      <c r="AT136" s="62"/>
      <c r="AU136" s="62"/>
      <c r="AV136" s="62"/>
      <c r="AW136" s="62"/>
      <c r="AX136" s="62"/>
      <c r="AY136" s="62"/>
    </row>
    <row r="137" spans="1:51" s="27" customFormat="1" ht="13.8" hidden="1">
      <c r="A137" s="90" t="s">
        <v>30</v>
      </c>
      <c r="B137" s="407" t="s">
        <v>23</v>
      </c>
      <c r="C137" s="408"/>
      <c r="D137" s="407" t="s">
        <v>33</v>
      </c>
      <c r="E137" s="408"/>
      <c r="F137" s="91" t="s">
        <v>22</v>
      </c>
      <c r="G137" s="89"/>
      <c r="H137" s="29"/>
      <c r="I137" s="29"/>
      <c r="J137" s="29"/>
      <c r="K137" s="29"/>
      <c r="L137" s="29"/>
      <c r="M137" s="29"/>
      <c r="N137" s="29"/>
      <c r="O137" s="178"/>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62"/>
      <c r="AP137" s="62"/>
      <c r="AQ137" s="62"/>
      <c r="AR137" s="62"/>
      <c r="AS137" s="62"/>
      <c r="AT137" s="62"/>
      <c r="AU137" s="62"/>
      <c r="AV137" s="62"/>
      <c r="AW137" s="62"/>
      <c r="AX137" s="62"/>
      <c r="AY137" s="62"/>
    </row>
    <row r="138" spans="1:51" s="27" customFormat="1" ht="13.8" hidden="1">
      <c r="A138" s="92">
        <v>1</v>
      </c>
      <c r="B138" s="93">
        <v>2</v>
      </c>
      <c r="C138" s="93">
        <v>3</v>
      </c>
      <c r="D138" s="93">
        <v>4</v>
      </c>
      <c r="E138" s="92">
        <v>5</v>
      </c>
      <c r="F138" s="93">
        <v>6</v>
      </c>
      <c r="G138" s="89"/>
      <c r="H138" s="29"/>
      <c r="I138" s="29"/>
      <c r="J138" s="29"/>
      <c r="K138" s="29"/>
      <c r="L138" s="29"/>
      <c r="M138" s="29"/>
      <c r="N138" s="29"/>
      <c r="O138" s="178"/>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62"/>
      <c r="AP138" s="62"/>
      <c r="AQ138" s="62"/>
      <c r="AR138" s="62"/>
      <c r="AS138" s="62"/>
      <c r="AT138" s="62"/>
      <c r="AU138" s="62"/>
      <c r="AV138" s="62"/>
      <c r="AW138" s="62"/>
      <c r="AX138" s="62"/>
      <c r="AY138" s="62"/>
    </row>
    <row r="139" spans="1:51" s="27" customFormat="1" ht="13.8" hidden="1">
      <c r="A139" s="94"/>
      <c r="B139" s="93" t="s">
        <v>51</v>
      </c>
      <c r="C139" s="93" t="s">
        <v>31</v>
      </c>
      <c r="D139" s="93" t="s">
        <v>51</v>
      </c>
      <c r="E139" s="93" t="s">
        <v>31</v>
      </c>
      <c r="F139" s="92" t="s">
        <v>31</v>
      </c>
      <c r="G139" s="89"/>
      <c r="H139" s="29"/>
      <c r="I139" s="29"/>
      <c r="J139" s="29"/>
      <c r="K139" s="29"/>
      <c r="L139" s="29"/>
      <c r="M139" s="29"/>
      <c r="N139" s="29"/>
      <c r="O139" s="178"/>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62"/>
      <c r="AP139" s="62"/>
      <c r="AQ139" s="62"/>
      <c r="AR139" s="62"/>
      <c r="AS139" s="62"/>
      <c r="AT139" s="62"/>
      <c r="AU139" s="62"/>
      <c r="AV139" s="62"/>
      <c r="AW139" s="62"/>
      <c r="AX139" s="62"/>
      <c r="AY139" s="62"/>
    </row>
    <row r="140" spans="1:51" s="27" customFormat="1" ht="13.8" hidden="1">
      <c r="A140" s="95"/>
      <c r="B140" s="90">
        <v>2025</v>
      </c>
      <c r="C140" s="90">
        <v>2026</v>
      </c>
      <c r="D140" s="90" t="s">
        <v>187</v>
      </c>
      <c r="E140" s="90" t="s">
        <v>220</v>
      </c>
      <c r="F140" s="96"/>
      <c r="G140" s="89"/>
      <c r="H140" s="78" t="str">
        <f t="shared" ref="H140:P140" si="17">C415</f>
        <v>2021 fakts</v>
      </c>
      <c r="I140" s="78" t="str">
        <f t="shared" si="17"/>
        <v>2021 fakts</v>
      </c>
      <c r="J140" s="78" t="str">
        <f t="shared" si="17"/>
        <v>2022 plāns</v>
      </c>
      <c r="K140" s="78" t="str">
        <f t="shared" si="17"/>
        <v>2022 fakts</v>
      </c>
      <c r="L140" s="78" t="str">
        <f t="shared" si="17"/>
        <v>2023 plāns</v>
      </c>
      <c r="M140" s="78" t="str">
        <f t="shared" si="17"/>
        <v>2023 fakts</v>
      </c>
      <c r="N140" s="78" t="str">
        <f t="shared" si="17"/>
        <v>2024 fakts</v>
      </c>
      <c r="O140" s="78" t="str">
        <f t="shared" si="17"/>
        <v>2025 fakts</v>
      </c>
      <c r="P140" s="78" t="str">
        <f t="shared" si="17"/>
        <v>2026 prognoze</v>
      </c>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62"/>
      <c r="AP140" s="62"/>
      <c r="AQ140" s="62"/>
      <c r="AR140" s="62"/>
      <c r="AS140" s="62"/>
      <c r="AT140" s="62"/>
      <c r="AU140" s="62"/>
      <c r="AV140" s="62"/>
      <c r="AW140" s="62"/>
      <c r="AX140" s="62"/>
      <c r="AY140" s="62"/>
    </row>
    <row r="141" spans="1:51" s="27" customFormat="1" ht="13.8" hidden="1">
      <c r="A141" s="97" t="s">
        <v>156</v>
      </c>
      <c r="B141" s="98">
        <f ca="1">IFERROR(B101/O141*100,"")</f>
        <v>-0.29284243420112277</v>
      </c>
      <c r="C141" s="98">
        <f ca="1">IFERROR(C101/P141*100,"")</f>
        <v>-0.54972821056396781</v>
      </c>
      <c r="D141" s="98">
        <f>IFERROR(D101/O141*100,"")</f>
        <v>-0.48191944332819875</v>
      </c>
      <c r="E141" s="98">
        <f>IFERROR(E101/P141*100,"")</f>
        <v>-0.42633434277995191</v>
      </c>
      <c r="F141" s="98">
        <f ca="1">IFERROR(C141-E141,"")</f>
        <v>-0.1233938677840159</v>
      </c>
      <c r="G141" s="89"/>
      <c r="H141" s="78">
        <f t="shared" ref="H141:H152" si="18">C416</f>
        <v>32283779</v>
      </c>
      <c r="I141" s="78">
        <f t="shared" ref="I141:I152" si="19">D416</f>
        <v>32283779</v>
      </c>
      <c r="J141" s="78">
        <f t="shared" ref="J141:J152" si="20">E416</f>
        <v>36103656</v>
      </c>
      <c r="K141" s="78">
        <f t="shared" ref="K141:K152" si="21">F416</f>
        <v>36088740</v>
      </c>
      <c r="L141" s="78">
        <f t="shared" ref="L141:L152" si="22">G416</f>
        <v>39072483</v>
      </c>
      <c r="M141" s="78">
        <f t="shared" ref="M141:M152" si="23">H416</f>
        <v>39564221</v>
      </c>
      <c r="N141" s="78">
        <f t="shared" ref="N141:N152" si="24">I416</f>
        <v>40652318</v>
      </c>
      <c r="O141" s="78">
        <f t="shared" ref="O141:O152" si="25">J416</f>
        <v>43026190</v>
      </c>
      <c r="P141" s="78">
        <f t="shared" ref="P141:P152" si="26">K416</f>
        <v>45538272.107807383</v>
      </c>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62"/>
      <c r="AP141" s="62"/>
      <c r="AQ141" s="62"/>
      <c r="AR141" s="62"/>
      <c r="AS141" s="62"/>
      <c r="AT141" s="62"/>
      <c r="AU141" s="62"/>
      <c r="AV141" s="62"/>
      <c r="AW141" s="62"/>
      <c r="AX141" s="62"/>
      <c r="AY141" s="62"/>
    </row>
    <row r="142" spans="1:51" s="27" customFormat="1" ht="13.8" hidden="1">
      <c r="A142" s="97" t="s">
        <v>157</v>
      </c>
      <c r="B142" s="98">
        <f t="shared" ref="B142:B152" ca="1" si="27">IFERROR(B102/O142*100,"")</f>
        <v>-0.63468025609518308</v>
      </c>
      <c r="C142" s="98">
        <f t="shared" ref="C142:C152" ca="1" si="28">IFERROR(C102/P142*100,"")</f>
        <v>0.34258300934359137</v>
      </c>
      <c r="D142" s="98">
        <f t="shared" ref="D142:D152" si="29">IFERROR(D102/O142*100,"")</f>
        <v>-0.9638388866563975</v>
      </c>
      <c r="E142" s="98">
        <f t="shared" ref="E142:E152" si="30">IFERROR(E102/P142*100,"")</f>
        <v>-0.85266868555990383</v>
      </c>
      <c r="F142" s="98">
        <f t="shared" ref="F142:F152" ca="1" si="31">IFERROR(C142-E142,"")</f>
        <v>1.1952516949034953</v>
      </c>
      <c r="G142" s="89"/>
      <c r="H142" s="78">
        <f t="shared" si="18"/>
        <v>32283779</v>
      </c>
      <c r="I142" s="78">
        <f t="shared" si="19"/>
        <v>32283779</v>
      </c>
      <c r="J142" s="78">
        <f t="shared" si="20"/>
        <v>36103656</v>
      </c>
      <c r="K142" s="78">
        <f t="shared" si="21"/>
        <v>36088740</v>
      </c>
      <c r="L142" s="78">
        <f t="shared" si="22"/>
        <v>39072483</v>
      </c>
      <c r="M142" s="78">
        <f t="shared" si="23"/>
        <v>39564221</v>
      </c>
      <c r="N142" s="78">
        <f t="shared" si="24"/>
        <v>40652318</v>
      </c>
      <c r="O142" s="78">
        <f t="shared" si="25"/>
        <v>43026190</v>
      </c>
      <c r="P142" s="78">
        <f t="shared" si="26"/>
        <v>45538272.107807383</v>
      </c>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62"/>
      <c r="AP142" s="62"/>
      <c r="AQ142" s="62"/>
      <c r="AR142" s="62"/>
      <c r="AS142" s="62"/>
      <c r="AT142" s="62"/>
      <c r="AU142" s="62"/>
      <c r="AV142" s="62"/>
      <c r="AW142" s="62"/>
      <c r="AX142" s="62"/>
      <c r="AY142" s="62"/>
    </row>
    <row r="143" spans="1:51" s="27" customFormat="1" ht="13.8" hidden="1">
      <c r="A143" s="97" t="s">
        <v>158</v>
      </c>
      <c r="B143" s="98">
        <f t="shared" ca="1" si="27"/>
        <v>-1.7833097683759573</v>
      </c>
      <c r="C143" s="98">
        <f t="shared" ca="1" si="28"/>
        <v>-0.59736984325182807</v>
      </c>
      <c r="D143" s="98">
        <f t="shared" si="29"/>
        <v>-1.4457583299845962</v>
      </c>
      <c r="E143" s="98">
        <f t="shared" si="30"/>
        <v>-1.2790030283398559</v>
      </c>
      <c r="F143" s="98">
        <f t="shared" ca="1" si="31"/>
        <v>0.68163318508802784</v>
      </c>
      <c r="G143" s="89"/>
      <c r="H143" s="78">
        <f t="shared" si="18"/>
        <v>32283779</v>
      </c>
      <c r="I143" s="78">
        <f t="shared" si="19"/>
        <v>32283779</v>
      </c>
      <c r="J143" s="78">
        <f t="shared" si="20"/>
        <v>36103656</v>
      </c>
      <c r="K143" s="78">
        <f t="shared" si="21"/>
        <v>36088740</v>
      </c>
      <c r="L143" s="78">
        <f t="shared" si="22"/>
        <v>39072483</v>
      </c>
      <c r="M143" s="78">
        <f t="shared" si="23"/>
        <v>39564221</v>
      </c>
      <c r="N143" s="78">
        <f t="shared" si="24"/>
        <v>40652318</v>
      </c>
      <c r="O143" s="78">
        <f t="shared" si="25"/>
        <v>43026190</v>
      </c>
      <c r="P143" s="78">
        <f t="shared" si="26"/>
        <v>45538272.107807383</v>
      </c>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62"/>
      <c r="AP143" s="62"/>
      <c r="AQ143" s="62"/>
      <c r="AR143" s="62"/>
      <c r="AS143" s="62"/>
      <c r="AT143" s="62"/>
      <c r="AU143" s="62"/>
      <c r="AV143" s="62"/>
      <c r="AW143" s="62"/>
      <c r="AX143" s="62"/>
      <c r="AY143" s="62"/>
    </row>
    <row r="144" spans="1:51" s="27" customFormat="1" ht="13.8" hidden="1">
      <c r="A144" s="97" t="s">
        <v>159</v>
      </c>
      <c r="B144" s="98">
        <f t="shared" ca="1" si="27"/>
        <v>-2.2898127937890846</v>
      </c>
      <c r="C144" s="98">
        <f t="shared" ca="1" si="28"/>
        <v>-0.92499886340171966</v>
      </c>
      <c r="D144" s="98">
        <f t="shared" si="29"/>
        <v>-1.927677773312795</v>
      </c>
      <c r="E144" s="98">
        <f t="shared" si="30"/>
        <v>-1.7053373711198077</v>
      </c>
      <c r="F144" s="98">
        <f t="shared" ca="1" si="31"/>
        <v>0.78033850771808799</v>
      </c>
      <c r="G144" s="89"/>
      <c r="H144" s="78">
        <f t="shared" si="18"/>
        <v>32283779</v>
      </c>
      <c r="I144" s="78">
        <f t="shared" si="19"/>
        <v>32283779</v>
      </c>
      <c r="J144" s="78">
        <f t="shared" si="20"/>
        <v>36103656</v>
      </c>
      <c r="K144" s="78">
        <f t="shared" si="21"/>
        <v>36088740</v>
      </c>
      <c r="L144" s="78">
        <f t="shared" si="22"/>
        <v>39072483</v>
      </c>
      <c r="M144" s="78">
        <f t="shared" si="23"/>
        <v>39564221</v>
      </c>
      <c r="N144" s="78">
        <f t="shared" si="24"/>
        <v>40652318</v>
      </c>
      <c r="O144" s="78">
        <f t="shared" si="25"/>
        <v>43026190</v>
      </c>
      <c r="P144" s="78">
        <f t="shared" si="26"/>
        <v>45538272.107807383</v>
      </c>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62"/>
      <c r="AP144" s="62"/>
      <c r="AQ144" s="62"/>
      <c r="AR144" s="62"/>
      <c r="AS144" s="62"/>
      <c r="AT144" s="62"/>
      <c r="AU144" s="62"/>
      <c r="AV144" s="62"/>
      <c r="AW144" s="62"/>
      <c r="AX144" s="62"/>
      <c r="AY144" s="62"/>
    </row>
    <row r="145" spans="1:51" s="27" customFormat="1" ht="13.8" hidden="1">
      <c r="A145" s="97" t="s">
        <v>160</v>
      </c>
      <c r="B145" s="98">
        <f t="shared" ca="1" si="27"/>
        <v>-1.7594480859913459</v>
      </c>
      <c r="C145" s="98">
        <f t="shared" ca="1" si="28"/>
        <v>-0.4526788043076776</v>
      </c>
      <c r="D145" s="98">
        <f t="shared" si="29"/>
        <v>-2.4095972166409938</v>
      </c>
      <c r="E145" s="98">
        <f t="shared" si="30"/>
        <v>-2.1316717138997601</v>
      </c>
      <c r="F145" s="98">
        <f t="shared" ca="1" si="31"/>
        <v>1.6789929095920826</v>
      </c>
      <c r="G145" s="89"/>
      <c r="H145" s="78">
        <f t="shared" si="18"/>
        <v>32283779</v>
      </c>
      <c r="I145" s="78">
        <f t="shared" si="19"/>
        <v>32283779</v>
      </c>
      <c r="J145" s="78">
        <f t="shared" si="20"/>
        <v>36103656</v>
      </c>
      <c r="K145" s="78">
        <f t="shared" si="21"/>
        <v>36088740</v>
      </c>
      <c r="L145" s="78">
        <f t="shared" si="22"/>
        <v>39072483</v>
      </c>
      <c r="M145" s="78">
        <f t="shared" si="23"/>
        <v>39564221</v>
      </c>
      <c r="N145" s="78">
        <f t="shared" si="24"/>
        <v>40652318</v>
      </c>
      <c r="O145" s="78">
        <f t="shared" si="25"/>
        <v>43026190</v>
      </c>
      <c r="P145" s="78">
        <f t="shared" si="26"/>
        <v>45538272.107807383</v>
      </c>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62"/>
      <c r="AP145" s="62"/>
      <c r="AQ145" s="62"/>
      <c r="AR145" s="62"/>
      <c r="AS145" s="62"/>
      <c r="AT145" s="62"/>
      <c r="AU145" s="62"/>
      <c r="AV145" s="62"/>
      <c r="AW145" s="62"/>
      <c r="AX145" s="62"/>
      <c r="AY145" s="62"/>
    </row>
    <row r="146" spans="1:51" s="27" customFormat="1" ht="13.8" hidden="1">
      <c r="A146" s="97" t="s">
        <v>161</v>
      </c>
      <c r="B146" s="98">
        <f t="shared" ca="1" si="27"/>
        <v>-1.6103728563463322</v>
      </c>
      <c r="C146" s="98">
        <f t="shared" ca="1" si="28"/>
        <v>-0.38799662214172514</v>
      </c>
      <c r="D146" s="98">
        <f t="shared" si="29"/>
        <v>-2.8915166599691924</v>
      </c>
      <c r="E146" s="98">
        <f t="shared" si="30"/>
        <v>-2.5580060566797118</v>
      </c>
      <c r="F146" s="98">
        <f t="shared" ca="1" si="31"/>
        <v>2.1700094345379868</v>
      </c>
      <c r="G146" s="89"/>
      <c r="H146" s="78">
        <f t="shared" si="18"/>
        <v>32283779</v>
      </c>
      <c r="I146" s="78">
        <f t="shared" si="19"/>
        <v>32283779</v>
      </c>
      <c r="J146" s="78">
        <f t="shared" si="20"/>
        <v>36103656</v>
      </c>
      <c r="K146" s="78">
        <f t="shared" si="21"/>
        <v>36088740</v>
      </c>
      <c r="L146" s="78">
        <f t="shared" si="22"/>
        <v>39072483</v>
      </c>
      <c r="M146" s="78">
        <f t="shared" si="23"/>
        <v>39564221</v>
      </c>
      <c r="N146" s="78">
        <f t="shared" si="24"/>
        <v>40652318</v>
      </c>
      <c r="O146" s="78">
        <f t="shared" si="25"/>
        <v>43026190</v>
      </c>
      <c r="P146" s="78">
        <f t="shared" si="26"/>
        <v>45538272.107807383</v>
      </c>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62"/>
      <c r="AP146" s="62"/>
      <c r="AQ146" s="62"/>
      <c r="AR146" s="62"/>
      <c r="AS146" s="62"/>
      <c r="AT146" s="62"/>
      <c r="AU146" s="62"/>
      <c r="AV146" s="62"/>
      <c r="AW146" s="62"/>
      <c r="AX146" s="62"/>
      <c r="AY146" s="62"/>
    </row>
    <row r="147" spans="1:51" s="27" customFormat="1" ht="13.8" hidden="1">
      <c r="A147" s="97" t="s">
        <v>162</v>
      </c>
      <c r="B147" s="98">
        <f t="shared" ca="1" si="27"/>
        <v>-2.0618359618176747</v>
      </c>
      <c r="C147" s="98">
        <f t="shared" ca="1" si="28"/>
        <v>-0.90711187840431506</v>
      </c>
      <c r="D147" s="98">
        <f t="shared" si="29"/>
        <v>-3.3734361032973905</v>
      </c>
      <c r="E147" s="98">
        <f t="shared" si="30"/>
        <v>-2.984340399459664</v>
      </c>
      <c r="F147" s="98">
        <f t="shared" ca="1" si="31"/>
        <v>2.0772285210553489</v>
      </c>
      <c r="G147" s="89"/>
      <c r="H147" s="78">
        <f t="shared" si="18"/>
        <v>32283779</v>
      </c>
      <c r="I147" s="78">
        <f t="shared" si="19"/>
        <v>32283779</v>
      </c>
      <c r="J147" s="78">
        <f t="shared" si="20"/>
        <v>36103656</v>
      </c>
      <c r="K147" s="78">
        <f t="shared" si="21"/>
        <v>36088740</v>
      </c>
      <c r="L147" s="78">
        <f t="shared" si="22"/>
        <v>39072483</v>
      </c>
      <c r="M147" s="78">
        <f t="shared" si="23"/>
        <v>39564221</v>
      </c>
      <c r="N147" s="78">
        <f t="shared" si="24"/>
        <v>40652318</v>
      </c>
      <c r="O147" s="78">
        <f t="shared" si="25"/>
        <v>43026190</v>
      </c>
      <c r="P147" s="78">
        <f t="shared" si="26"/>
        <v>45538272.107807383</v>
      </c>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62"/>
      <c r="AP147" s="62"/>
      <c r="AQ147" s="62"/>
      <c r="AR147" s="62"/>
      <c r="AS147" s="62"/>
      <c r="AT147" s="62"/>
      <c r="AU147" s="62"/>
      <c r="AV147" s="62"/>
      <c r="AW147" s="62"/>
      <c r="AX147" s="62"/>
      <c r="AY147" s="62"/>
    </row>
    <row r="148" spans="1:51" s="27" customFormat="1" ht="13.8" hidden="1">
      <c r="A148" s="97" t="s">
        <v>163</v>
      </c>
      <c r="B148" s="98">
        <f t="shared" ca="1" si="27"/>
        <v>-1.8862438797160541</v>
      </c>
      <c r="C148" s="98" t="str">
        <f t="shared" ca="1" si="28"/>
        <v/>
      </c>
      <c r="D148" s="98">
        <f t="shared" si="29"/>
        <v>-3.85535554662559</v>
      </c>
      <c r="E148" s="98">
        <f t="shared" si="30"/>
        <v>-3.4106747422396153</v>
      </c>
      <c r="F148" s="98" t="str">
        <f ca="1">IFERROR(C148-E148,"")</f>
        <v/>
      </c>
      <c r="G148" s="89"/>
      <c r="H148" s="78">
        <f t="shared" si="18"/>
        <v>32283779</v>
      </c>
      <c r="I148" s="78">
        <f t="shared" si="19"/>
        <v>32283779</v>
      </c>
      <c r="J148" s="78">
        <f t="shared" si="20"/>
        <v>36103656</v>
      </c>
      <c r="K148" s="78">
        <f t="shared" si="21"/>
        <v>36088740</v>
      </c>
      <c r="L148" s="78">
        <f t="shared" si="22"/>
        <v>39072483</v>
      </c>
      <c r="M148" s="78">
        <f t="shared" si="23"/>
        <v>39564221</v>
      </c>
      <c r="N148" s="78">
        <f t="shared" si="24"/>
        <v>40652318</v>
      </c>
      <c r="O148" s="78">
        <f t="shared" si="25"/>
        <v>43026190</v>
      </c>
      <c r="P148" s="78">
        <f t="shared" si="26"/>
        <v>45538272.107807383</v>
      </c>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62"/>
      <c r="AP148" s="62"/>
      <c r="AQ148" s="62"/>
      <c r="AR148" s="62"/>
      <c r="AS148" s="62"/>
      <c r="AT148" s="62"/>
      <c r="AU148" s="62"/>
      <c r="AV148" s="62"/>
      <c r="AW148" s="62"/>
      <c r="AX148" s="62"/>
      <c r="AY148" s="62"/>
    </row>
    <row r="149" spans="1:51" s="27" customFormat="1" ht="13.8" hidden="1">
      <c r="A149" s="97" t="s">
        <v>164</v>
      </c>
      <c r="B149" s="98">
        <f t="shared" ca="1" si="27"/>
        <v>-2.5803406519378096</v>
      </c>
      <c r="C149" s="98" t="str">
        <f t="shared" ca="1" si="28"/>
        <v/>
      </c>
      <c r="D149" s="98">
        <f t="shared" si="29"/>
        <v>-4.337274989953789</v>
      </c>
      <c r="E149" s="98">
        <f t="shared" si="30"/>
        <v>-3.8370090850195679</v>
      </c>
      <c r="F149" s="98" t="str">
        <f t="shared" ca="1" si="31"/>
        <v/>
      </c>
      <c r="G149" s="89"/>
      <c r="H149" s="78">
        <f t="shared" si="18"/>
        <v>32283779</v>
      </c>
      <c r="I149" s="78">
        <f t="shared" si="19"/>
        <v>32283779</v>
      </c>
      <c r="J149" s="78">
        <f t="shared" si="20"/>
        <v>36103656</v>
      </c>
      <c r="K149" s="78">
        <f t="shared" si="21"/>
        <v>36088740</v>
      </c>
      <c r="L149" s="78">
        <f t="shared" si="22"/>
        <v>39072483</v>
      </c>
      <c r="M149" s="78">
        <f t="shared" si="23"/>
        <v>39564221</v>
      </c>
      <c r="N149" s="78">
        <f t="shared" si="24"/>
        <v>40652318</v>
      </c>
      <c r="O149" s="78">
        <f t="shared" si="25"/>
        <v>43026190</v>
      </c>
      <c r="P149" s="78">
        <f t="shared" si="26"/>
        <v>45538272.107807383</v>
      </c>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62"/>
      <c r="AP149" s="62"/>
      <c r="AQ149" s="62"/>
      <c r="AR149" s="62"/>
      <c r="AS149" s="62"/>
      <c r="AT149" s="62"/>
      <c r="AU149" s="62"/>
      <c r="AV149" s="62"/>
      <c r="AW149" s="62"/>
      <c r="AX149" s="62"/>
      <c r="AY149" s="62"/>
    </row>
    <row r="150" spans="1:51" s="27" customFormat="1" ht="13.8" hidden="1">
      <c r="A150" s="97" t="s">
        <v>165</v>
      </c>
      <c r="B150" s="98">
        <f t="shared" ca="1" si="27"/>
        <v>-3.4039352654743551</v>
      </c>
      <c r="C150" s="98" t="str">
        <f t="shared" ca="1" si="28"/>
        <v/>
      </c>
      <c r="D150" s="98">
        <f t="shared" si="29"/>
        <v>-4.8191944332819876</v>
      </c>
      <c r="E150" s="98">
        <f t="shared" si="30"/>
        <v>-4.2633434277995201</v>
      </c>
      <c r="F150" s="98" t="str">
        <f ca="1">IFERROR(C150-E150,"")</f>
        <v/>
      </c>
      <c r="G150" s="89"/>
      <c r="H150" s="78">
        <f t="shared" si="18"/>
        <v>32283779</v>
      </c>
      <c r="I150" s="78">
        <f t="shared" si="19"/>
        <v>32283779</v>
      </c>
      <c r="J150" s="78">
        <f t="shared" si="20"/>
        <v>36103656</v>
      </c>
      <c r="K150" s="78">
        <f t="shared" si="21"/>
        <v>36088740</v>
      </c>
      <c r="L150" s="78">
        <f t="shared" si="22"/>
        <v>39072483</v>
      </c>
      <c r="M150" s="78">
        <f t="shared" si="23"/>
        <v>39564221</v>
      </c>
      <c r="N150" s="78">
        <f t="shared" si="24"/>
        <v>40652318</v>
      </c>
      <c r="O150" s="78">
        <f t="shared" si="25"/>
        <v>43026190</v>
      </c>
      <c r="P150" s="78">
        <f t="shared" si="26"/>
        <v>45538272.107807383</v>
      </c>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62"/>
      <c r="AP150" s="62"/>
      <c r="AQ150" s="62"/>
      <c r="AR150" s="62"/>
      <c r="AS150" s="62"/>
      <c r="AT150" s="62"/>
      <c r="AU150" s="62"/>
      <c r="AV150" s="62"/>
      <c r="AW150" s="62"/>
      <c r="AX150" s="62"/>
      <c r="AY150" s="62"/>
    </row>
    <row r="151" spans="1:51" s="27" customFormat="1" ht="13.8" hidden="1">
      <c r="A151" s="97" t="s">
        <v>166</v>
      </c>
      <c r="B151" s="98">
        <f t="shared" ca="1" si="27"/>
        <v>-3.9241406519145698</v>
      </c>
      <c r="C151" s="98" t="str">
        <f t="shared" ca="1" si="28"/>
        <v/>
      </c>
      <c r="D151" s="98">
        <f t="shared" si="29"/>
        <v>-5.3011138766101862</v>
      </c>
      <c r="E151" s="98">
        <f t="shared" si="30"/>
        <v>-4.6896777705794719</v>
      </c>
      <c r="F151" s="98" t="str">
        <f t="shared" ca="1" si="31"/>
        <v/>
      </c>
      <c r="G151" s="89"/>
      <c r="H151" s="78">
        <f t="shared" si="18"/>
        <v>32283779</v>
      </c>
      <c r="I151" s="78">
        <f t="shared" si="19"/>
        <v>32283779</v>
      </c>
      <c r="J151" s="78">
        <f t="shared" si="20"/>
        <v>36103656</v>
      </c>
      <c r="K151" s="78">
        <f t="shared" si="21"/>
        <v>36088740</v>
      </c>
      <c r="L151" s="78">
        <f t="shared" si="22"/>
        <v>39072483</v>
      </c>
      <c r="M151" s="78">
        <f t="shared" si="23"/>
        <v>39564221</v>
      </c>
      <c r="N151" s="78">
        <f t="shared" si="24"/>
        <v>40652318</v>
      </c>
      <c r="O151" s="78">
        <f t="shared" si="25"/>
        <v>43026190</v>
      </c>
      <c r="P151" s="78">
        <f t="shared" si="26"/>
        <v>45538272.107807383</v>
      </c>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62"/>
      <c r="AP151" s="62"/>
      <c r="AQ151" s="62"/>
      <c r="AR151" s="62"/>
      <c r="AS151" s="62"/>
      <c r="AT151" s="62"/>
      <c r="AU151" s="62"/>
      <c r="AV151" s="62"/>
      <c r="AW151" s="62"/>
      <c r="AX151" s="62"/>
      <c r="AY151" s="62"/>
    </row>
    <row r="152" spans="1:51" s="27" customFormat="1" ht="13.8" hidden="1">
      <c r="A152" s="97" t="s">
        <v>167</v>
      </c>
      <c r="B152" s="98">
        <f t="shared" ca="1" si="27"/>
        <v>-5.1646752556059479</v>
      </c>
      <c r="C152" s="98" t="str">
        <f t="shared" ca="1" si="28"/>
        <v/>
      </c>
      <c r="D152" s="98">
        <f t="shared" si="29"/>
        <v>-5.7830333199383848</v>
      </c>
      <c r="E152" s="98">
        <f t="shared" si="30"/>
        <v>-5.1160121133594236</v>
      </c>
      <c r="F152" s="98" t="str">
        <f t="shared" ca="1" si="31"/>
        <v/>
      </c>
      <c r="G152" s="89"/>
      <c r="H152" s="78">
        <f t="shared" si="18"/>
        <v>32283779</v>
      </c>
      <c r="I152" s="78">
        <f t="shared" si="19"/>
        <v>32283779</v>
      </c>
      <c r="J152" s="78">
        <f t="shared" si="20"/>
        <v>36103656</v>
      </c>
      <c r="K152" s="78">
        <f t="shared" si="21"/>
        <v>36088740</v>
      </c>
      <c r="L152" s="78">
        <f t="shared" si="22"/>
        <v>39072483</v>
      </c>
      <c r="M152" s="78">
        <f t="shared" si="23"/>
        <v>39564221</v>
      </c>
      <c r="N152" s="78">
        <f t="shared" si="24"/>
        <v>40652318</v>
      </c>
      <c r="O152" s="78">
        <f t="shared" si="25"/>
        <v>43026190</v>
      </c>
      <c r="P152" s="78">
        <f t="shared" si="26"/>
        <v>45538272.107807383</v>
      </c>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62"/>
      <c r="AP152" s="62"/>
      <c r="AQ152" s="62"/>
      <c r="AR152" s="62"/>
      <c r="AS152" s="62"/>
      <c r="AT152" s="62"/>
      <c r="AU152" s="62"/>
      <c r="AV152" s="62"/>
      <c r="AW152" s="62"/>
      <c r="AX152" s="62"/>
      <c r="AY152" s="62"/>
    </row>
    <row r="153" spans="1:51" s="27" customFormat="1" ht="13.8" hidden="1">
      <c r="A153" s="89"/>
      <c r="B153" s="89"/>
      <c r="C153" s="89"/>
      <c r="D153" s="89"/>
      <c r="E153" s="89"/>
      <c r="F153" s="89"/>
      <c r="G153" s="89"/>
      <c r="H153" s="69"/>
      <c r="I153" s="69"/>
      <c r="J153" s="69"/>
      <c r="K153" s="69"/>
      <c r="L153" s="69"/>
      <c r="M153" s="69"/>
      <c r="N153" s="69"/>
      <c r="O153" s="178"/>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62"/>
      <c r="AP153" s="62"/>
      <c r="AQ153" s="62"/>
      <c r="AR153" s="62"/>
      <c r="AS153" s="62"/>
      <c r="AT153" s="62"/>
      <c r="AU153" s="62"/>
      <c r="AV153" s="62"/>
      <c r="AW153" s="62"/>
      <c r="AX153" s="62"/>
      <c r="AY153" s="62"/>
    </row>
    <row r="154" spans="1:51" s="27" customFormat="1" ht="13.8" hidden="1">
      <c r="A154" s="89"/>
      <c r="B154" s="89"/>
      <c r="C154" s="89"/>
      <c r="D154" s="89"/>
      <c r="E154" s="89"/>
      <c r="F154" s="89"/>
      <c r="G154" s="89"/>
      <c r="H154" s="29"/>
      <c r="I154" s="29"/>
      <c r="J154" s="29"/>
      <c r="K154" s="29"/>
      <c r="L154" s="29"/>
      <c r="M154" s="29"/>
      <c r="N154" s="29"/>
      <c r="O154" s="178"/>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62"/>
      <c r="AP154" s="62"/>
      <c r="AQ154" s="62"/>
      <c r="AR154" s="62"/>
      <c r="AS154" s="62"/>
      <c r="AT154" s="62"/>
      <c r="AU154" s="62"/>
      <c r="AV154" s="62"/>
      <c r="AW154" s="62"/>
      <c r="AX154" s="62"/>
      <c r="AY154" s="62"/>
    </row>
    <row r="155" spans="1:51" s="27" customFormat="1" ht="13.8" hidden="1">
      <c r="A155" s="89"/>
      <c r="B155" s="89"/>
      <c r="C155" s="89"/>
      <c r="D155" s="89"/>
      <c r="E155" s="89"/>
      <c r="F155" s="89"/>
      <c r="G155" s="89"/>
      <c r="H155" s="29"/>
      <c r="I155" s="29"/>
      <c r="J155" s="29"/>
      <c r="K155" s="29"/>
      <c r="L155" s="29"/>
      <c r="M155" s="29"/>
      <c r="N155" s="29"/>
      <c r="O155" s="178"/>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62"/>
      <c r="AP155" s="62"/>
      <c r="AQ155" s="62"/>
      <c r="AR155" s="62"/>
      <c r="AS155" s="62"/>
      <c r="AT155" s="62"/>
      <c r="AU155" s="62"/>
      <c r="AV155" s="62"/>
      <c r="AW155" s="62"/>
      <c r="AX155" s="62"/>
      <c r="AY155" s="62"/>
    </row>
    <row r="156" spans="1:51" s="27" customFormat="1" ht="13.8" hidden="1">
      <c r="A156" s="89"/>
      <c r="B156" s="89"/>
      <c r="C156" s="89"/>
      <c r="D156" s="89"/>
      <c r="E156" s="89"/>
      <c r="F156" s="89"/>
      <c r="G156" s="89"/>
      <c r="H156" s="29"/>
      <c r="I156" s="29"/>
      <c r="J156" s="29"/>
      <c r="K156" s="29"/>
      <c r="L156" s="29"/>
      <c r="M156" s="29"/>
      <c r="N156" s="29"/>
      <c r="O156" s="178"/>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62"/>
      <c r="AP156" s="62"/>
      <c r="AQ156" s="62"/>
      <c r="AR156" s="62"/>
      <c r="AS156" s="62"/>
      <c r="AT156" s="62"/>
      <c r="AU156" s="62"/>
      <c r="AV156" s="62"/>
      <c r="AW156" s="62"/>
      <c r="AX156" s="62"/>
      <c r="AY156" s="62"/>
    </row>
    <row r="157" spans="1:51" s="27" customFormat="1" ht="13.8" hidden="1">
      <c r="A157" s="89"/>
      <c r="B157" s="89"/>
      <c r="C157" s="89"/>
      <c r="D157" s="89"/>
      <c r="E157" s="89"/>
      <c r="F157" s="89"/>
      <c r="G157" s="89"/>
      <c r="H157" s="29"/>
      <c r="I157" s="29"/>
      <c r="J157" s="29"/>
      <c r="K157" s="29"/>
      <c r="L157" s="29"/>
      <c r="M157" s="29"/>
      <c r="N157" s="29"/>
      <c r="O157" s="178"/>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62"/>
      <c r="AP157" s="62"/>
      <c r="AQ157" s="62"/>
      <c r="AR157" s="62"/>
      <c r="AS157" s="62"/>
      <c r="AT157" s="62"/>
      <c r="AU157" s="62"/>
      <c r="AV157" s="62"/>
      <c r="AW157" s="62"/>
      <c r="AX157" s="62"/>
      <c r="AY157" s="62"/>
    </row>
    <row r="158" spans="1:51" s="27" customFormat="1" ht="13.8" hidden="1">
      <c r="A158" s="89"/>
      <c r="B158" s="89"/>
      <c r="C158" s="89"/>
      <c r="D158" s="89"/>
      <c r="E158" s="89"/>
      <c r="F158" s="89"/>
      <c r="G158" s="89"/>
      <c r="H158" s="29"/>
      <c r="I158" s="29"/>
      <c r="J158" s="29"/>
      <c r="K158" s="29"/>
      <c r="L158" s="29"/>
      <c r="M158" s="29"/>
      <c r="N158" s="29"/>
      <c r="O158" s="178"/>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62"/>
      <c r="AP158" s="62"/>
      <c r="AQ158" s="62"/>
      <c r="AR158" s="62"/>
      <c r="AS158" s="62"/>
      <c r="AT158" s="62"/>
      <c r="AU158" s="62"/>
      <c r="AV158" s="62"/>
      <c r="AW158" s="62"/>
      <c r="AX158" s="62"/>
      <c r="AY158" s="62"/>
    </row>
    <row r="159" spans="1:51" s="27" customFormat="1" ht="13.8" hidden="1">
      <c r="A159" s="89"/>
      <c r="B159" s="89"/>
      <c r="C159" s="89"/>
      <c r="D159" s="89"/>
      <c r="E159" s="89"/>
      <c r="F159" s="89"/>
      <c r="G159" s="89"/>
      <c r="H159" s="29"/>
      <c r="I159" s="29"/>
      <c r="J159" s="29"/>
      <c r="K159" s="29"/>
      <c r="L159" s="29"/>
      <c r="M159" s="29"/>
      <c r="N159" s="29"/>
      <c r="O159" s="178"/>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62"/>
      <c r="AP159" s="62"/>
      <c r="AQ159" s="62"/>
      <c r="AR159" s="62"/>
      <c r="AS159" s="62"/>
      <c r="AT159" s="62"/>
      <c r="AU159" s="62"/>
      <c r="AV159" s="62"/>
      <c r="AW159" s="62"/>
      <c r="AX159" s="62"/>
      <c r="AY159" s="62"/>
    </row>
    <row r="160" spans="1:51" s="27" customFormat="1" ht="13.8" hidden="1">
      <c r="A160" s="89"/>
      <c r="B160" s="89"/>
      <c r="C160" s="89"/>
      <c r="D160" s="89"/>
      <c r="E160" s="89"/>
      <c r="F160" s="89"/>
      <c r="G160" s="89"/>
      <c r="H160" s="29"/>
      <c r="I160" s="29"/>
      <c r="J160" s="29"/>
      <c r="K160" s="29"/>
      <c r="L160" s="29"/>
      <c r="M160" s="29"/>
      <c r="N160" s="29"/>
      <c r="O160" s="178"/>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62"/>
      <c r="AP160" s="62"/>
      <c r="AQ160" s="62"/>
      <c r="AR160" s="62"/>
      <c r="AS160" s="62"/>
      <c r="AT160" s="62"/>
      <c r="AU160" s="62"/>
      <c r="AV160" s="62"/>
      <c r="AW160" s="62"/>
      <c r="AX160" s="62"/>
      <c r="AY160" s="62"/>
    </row>
    <row r="161" spans="1:51" s="27" customFormat="1" ht="13.8" hidden="1">
      <c r="A161" s="89"/>
      <c r="B161" s="89"/>
      <c r="C161" s="89"/>
      <c r="D161" s="89"/>
      <c r="E161" s="89"/>
      <c r="F161" s="89"/>
      <c r="G161" s="89"/>
      <c r="H161" s="29"/>
      <c r="I161" s="29"/>
      <c r="J161" s="29"/>
      <c r="K161" s="29"/>
      <c r="L161" s="29"/>
      <c r="M161" s="29"/>
      <c r="N161" s="29"/>
      <c r="O161" s="178"/>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62"/>
      <c r="AP161" s="62"/>
      <c r="AQ161" s="62"/>
      <c r="AR161" s="62"/>
      <c r="AS161" s="62"/>
      <c r="AT161" s="62"/>
      <c r="AU161" s="62"/>
      <c r="AV161" s="62"/>
      <c r="AW161" s="62"/>
      <c r="AX161" s="62"/>
      <c r="AY161" s="62"/>
    </row>
    <row r="162" spans="1:51" s="27" customFormat="1" ht="13.8" hidden="1">
      <c r="A162" s="89"/>
      <c r="B162" s="89"/>
      <c r="C162" s="89"/>
      <c r="D162" s="89"/>
      <c r="E162" s="89"/>
      <c r="F162" s="89"/>
      <c r="G162" s="89"/>
      <c r="H162" s="29"/>
      <c r="I162" s="29"/>
      <c r="J162" s="29"/>
      <c r="K162" s="29"/>
      <c r="L162" s="29"/>
      <c r="M162" s="29"/>
      <c r="N162" s="29"/>
      <c r="O162" s="178"/>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62"/>
      <c r="AP162" s="62"/>
      <c r="AQ162" s="62"/>
      <c r="AR162" s="62"/>
      <c r="AS162" s="62"/>
      <c r="AT162" s="62"/>
      <c r="AU162" s="62"/>
      <c r="AV162" s="62"/>
      <c r="AW162" s="62"/>
      <c r="AX162" s="62"/>
      <c r="AY162" s="62"/>
    </row>
    <row r="163" spans="1:51" s="27" customFormat="1" ht="13.8" hidden="1">
      <c r="A163" s="89"/>
      <c r="B163" s="89"/>
      <c r="C163" s="89"/>
      <c r="D163" s="89"/>
      <c r="E163" s="89"/>
      <c r="F163" s="89"/>
      <c r="G163" s="89"/>
      <c r="H163" s="29"/>
      <c r="I163" s="29"/>
      <c r="J163" s="29"/>
      <c r="K163" s="29"/>
      <c r="L163" s="29"/>
      <c r="M163" s="29"/>
      <c r="N163" s="29"/>
      <c r="O163" s="178"/>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62"/>
      <c r="AP163" s="62"/>
      <c r="AQ163" s="62"/>
      <c r="AR163" s="62"/>
      <c r="AS163" s="62"/>
      <c r="AT163" s="62"/>
      <c r="AU163" s="62"/>
      <c r="AV163" s="62"/>
      <c r="AW163" s="62"/>
      <c r="AX163" s="62"/>
      <c r="AY163" s="62"/>
    </row>
    <row r="164" spans="1:51" s="27" customFormat="1" ht="13.8" hidden="1">
      <c r="A164" s="89"/>
      <c r="B164" s="89"/>
      <c r="C164" s="89"/>
      <c r="D164" s="89"/>
      <c r="E164" s="89"/>
      <c r="F164" s="89"/>
      <c r="G164" s="89"/>
      <c r="H164" s="29"/>
      <c r="I164" s="29"/>
      <c r="J164" s="29"/>
      <c r="K164" s="29"/>
      <c r="L164" s="29"/>
      <c r="M164" s="29"/>
      <c r="N164" s="29"/>
      <c r="O164" s="178"/>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62"/>
      <c r="AP164" s="62"/>
      <c r="AQ164" s="62"/>
      <c r="AR164" s="62"/>
      <c r="AS164" s="62"/>
      <c r="AT164" s="62"/>
      <c r="AU164" s="62"/>
      <c r="AV164" s="62"/>
      <c r="AW164" s="62"/>
      <c r="AX164" s="62"/>
      <c r="AY164" s="62"/>
    </row>
    <row r="165" spans="1:51" s="27" customFormat="1" ht="13.8" hidden="1">
      <c r="A165" s="89"/>
      <c r="B165" s="89"/>
      <c r="C165" s="89"/>
      <c r="D165" s="89"/>
      <c r="E165" s="89"/>
      <c r="F165" s="89"/>
      <c r="G165" s="89"/>
      <c r="H165" s="29"/>
      <c r="I165" s="29"/>
      <c r="J165" s="29"/>
      <c r="K165" s="29"/>
      <c r="L165" s="29"/>
      <c r="M165" s="29"/>
      <c r="N165" s="29"/>
      <c r="O165" s="178"/>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62"/>
      <c r="AP165" s="62"/>
      <c r="AQ165" s="62"/>
      <c r="AR165" s="62"/>
      <c r="AS165" s="62"/>
      <c r="AT165" s="62"/>
      <c r="AU165" s="62"/>
      <c r="AV165" s="62"/>
      <c r="AW165" s="62"/>
      <c r="AX165" s="62"/>
      <c r="AY165" s="62"/>
    </row>
    <row r="166" spans="1:51" s="27" customFormat="1" ht="13.8" hidden="1">
      <c r="A166" s="89"/>
      <c r="B166" s="89"/>
      <c r="C166" s="89"/>
      <c r="D166" s="89"/>
      <c r="E166" s="89"/>
      <c r="F166" s="89"/>
      <c r="G166" s="89"/>
      <c r="H166" s="29"/>
      <c r="I166" s="29"/>
      <c r="J166" s="29"/>
      <c r="K166" s="29"/>
      <c r="L166" s="29"/>
      <c r="M166" s="29"/>
      <c r="N166" s="29"/>
      <c r="O166" s="178"/>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62"/>
      <c r="AP166" s="62"/>
      <c r="AQ166" s="62"/>
      <c r="AR166" s="62"/>
      <c r="AS166" s="62"/>
      <c r="AT166" s="62"/>
      <c r="AU166" s="62"/>
      <c r="AV166" s="62"/>
      <c r="AW166" s="62"/>
      <c r="AX166" s="62"/>
      <c r="AY166" s="62"/>
    </row>
    <row r="167" spans="1:51" s="27" customFormat="1" ht="13.8" hidden="1">
      <c r="A167" s="89"/>
      <c r="B167" s="89"/>
      <c r="C167" s="89"/>
      <c r="D167" s="89"/>
      <c r="E167" s="89"/>
      <c r="F167" s="89"/>
      <c r="G167" s="89"/>
      <c r="H167" s="29"/>
      <c r="I167" s="29"/>
      <c r="J167" s="29"/>
      <c r="K167" s="29"/>
      <c r="L167" s="29"/>
      <c r="M167" s="29"/>
      <c r="N167" s="29"/>
      <c r="O167" s="178"/>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62"/>
      <c r="AP167" s="62"/>
      <c r="AQ167" s="62"/>
      <c r="AR167" s="62"/>
      <c r="AS167" s="62"/>
      <c r="AT167" s="62"/>
      <c r="AU167" s="62"/>
      <c r="AV167" s="62"/>
      <c r="AW167" s="62"/>
      <c r="AX167" s="62"/>
      <c r="AY167" s="62"/>
    </row>
    <row r="168" spans="1:51" s="27" customFormat="1" ht="13.8" hidden="1">
      <c r="A168" s="89"/>
      <c r="B168" s="89"/>
      <c r="C168" s="89"/>
      <c r="D168" s="89"/>
      <c r="E168" s="89"/>
      <c r="F168" s="89"/>
      <c r="G168" s="89"/>
      <c r="H168" s="29"/>
      <c r="I168" s="29"/>
      <c r="J168" s="29"/>
      <c r="K168" s="29"/>
      <c r="L168" s="29"/>
      <c r="M168" s="29"/>
      <c r="N168" s="29"/>
      <c r="O168" s="178"/>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62"/>
      <c r="AP168" s="62"/>
      <c r="AQ168" s="62"/>
      <c r="AR168" s="62"/>
      <c r="AS168" s="62"/>
      <c r="AT168" s="62"/>
      <c r="AU168" s="62"/>
      <c r="AV168" s="62"/>
      <c r="AW168" s="62"/>
      <c r="AX168" s="62"/>
      <c r="AY168" s="62"/>
    </row>
    <row r="169" spans="1:51" s="27" customFormat="1" ht="13.8" hidden="1">
      <c r="A169" s="89"/>
      <c r="B169" s="89"/>
      <c r="C169" s="89"/>
      <c r="D169" s="89"/>
      <c r="E169" s="89"/>
      <c r="F169" s="89"/>
      <c r="G169" s="89"/>
      <c r="H169" s="29"/>
      <c r="I169" s="29"/>
      <c r="J169" s="29"/>
      <c r="K169" s="29"/>
      <c r="L169" s="29"/>
      <c r="M169" s="29"/>
      <c r="N169" s="29"/>
      <c r="O169" s="178"/>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62"/>
      <c r="AP169" s="62"/>
      <c r="AQ169" s="62"/>
      <c r="AR169" s="62"/>
      <c r="AS169" s="62"/>
      <c r="AT169" s="62"/>
      <c r="AU169" s="62"/>
      <c r="AV169" s="62"/>
      <c r="AW169" s="62"/>
      <c r="AX169" s="62"/>
      <c r="AY169" s="62"/>
    </row>
    <row r="170" spans="1:51" s="27" customFormat="1" ht="13.8" hidden="1">
      <c r="A170" s="89"/>
      <c r="B170" s="89"/>
      <c r="C170" s="89"/>
      <c r="D170" s="89"/>
      <c r="E170" s="89"/>
      <c r="F170" s="89"/>
      <c r="G170" s="89"/>
      <c r="H170" s="29"/>
      <c r="I170" s="29"/>
      <c r="J170" s="29"/>
      <c r="K170" s="29"/>
      <c r="L170" s="29"/>
      <c r="M170" s="29"/>
      <c r="N170" s="29"/>
      <c r="O170" s="178"/>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62"/>
      <c r="AP170" s="62"/>
      <c r="AQ170" s="62"/>
      <c r="AR170" s="62"/>
      <c r="AS170" s="62"/>
      <c r="AT170" s="62"/>
      <c r="AU170" s="62"/>
      <c r="AV170" s="62"/>
      <c r="AW170" s="62"/>
      <c r="AX170" s="62"/>
      <c r="AY170" s="62"/>
    </row>
    <row r="171" spans="1:51" s="27" customFormat="1" ht="13.8" hidden="1">
      <c r="A171" s="89"/>
      <c r="B171" s="89"/>
      <c r="C171" s="89"/>
      <c r="D171" s="89"/>
      <c r="E171" s="89"/>
      <c r="F171" s="89"/>
      <c r="G171" s="89"/>
      <c r="H171" s="29"/>
      <c r="I171" s="29"/>
      <c r="J171" s="29"/>
      <c r="K171" s="29"/>
      <c r="L171" s="29"/>
      <c r="M171" s="29"/>
      <c r="N171" s="29"/>
      <c r="O171" s="178"/>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62"/>
      <c r="AP171" s="62"/>
      <c r="AQ171" s="62"/>
      <c r="AR171" s="62"/>
      <c r="AS171" s="62"/>
      <c r="AT171" s="62"/>
      <c r="AU171" s="62"/>
      <c r="AV171" s="62"/>
      <c r="AW171" s="62"/>
      <c r="AX171" s="62"/>
      <c r="AY171" s="62"/>
    </row>
    <row r="172" spans="1:51" s="27" customFormat="1" ht="13.8" hidden="1">
      <c r="A172" s="89"/>
      <c r="B172" s="89"/>
      <c r="C172" s="89"/>
      <c r="D172" s="89"/>
      <c r="E172" s="89"/>
      <c r="F172" s="89"/>
      <c r="G172" s="89"/>
      <c r="H172" s="29"/>
      <c r="I172" s="29"/>
      <c r="J172" s="29"/>
      <c r="K172" s="29"/>
      <c r="L172" s="29"/>
      <c r="M172" s="29"/>
      <c r="N172" s="29"/>
      <c r="O172" s="178"/>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62"/>
      <c r="AP172" s="62"/>
      <c r="AQ172" s="62"/>
      <c r="AR172" s="62"/>
      <c r="AS172" s="62"/>
      <c r="AT172" s="62"/>
      <c r="AU172" s="62"/>
      <c r="AV172" s="62"/>
      <c r="AW172" s="62"/>
      <c r="AX172" s="62"/>
      <c r="AY172" s="62"/>
    </row>
    <row r="173" spans="1:51" s="27" customFormat="1" ht="13.8" hidden="1">
      <c r="A173" s="89"/>
      <c r="B173" s="89"/>
      <c r="C173" s="89"/>
      <c r="D173" s="89"/>
      <c r="E173" s="89"/>
      <c r="F173" s="89"/>
      <c r="G173" s="89"/>
      <c r="H173" s="29"/>
      <c r="I173" s="29"/>
      <c r="J173" s="29"/>
      <c r="K173" s="29"/>
      <c r="L173" s="29"/>
      <c r="M173" s="29"/>
      <c r="N173" s="29"/>
      <c r="O173" s="178"/>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62"/>
      <c r="AP173" s="62"/>
      <c r="AQ173" s="62"/>
      <c r="AR173" s="62"/>
      <c r="AS173" s="62"/>
      <c r="AT173" s="62"/>
      <c r="AU173" s="62"/>
      <c r="AV173" s="62"/>
      <c r="AW173" s="62"/>
      <c r="AX173" s="62"/>
      <c r="AY173" s="62"/>
    </row>
    <row r="174" spans="1:51" s="27" customFormat="1" ht="13.8">
      <c r="A174" s="89"/>
      <c r="B174" s="89"/>
      <c r="C174" s="89"/>
      <c r="D174" s="89"/>
      <c r="E174" s="89"/>
      <c r="F174" s="89"/>
      <c r="G174" s="89"/>
      <c r="H174" s="29"/>
      <c r="I174" s="29"/>
      <c r="J174" s="29"/>
      <c r="K174" s="29"/>
      <c r="L174" s="29"/>
      <c r="M174" s="29"/>
      <c r="N174" s="29"/>
      <c r="O174" s="178"/>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62"/>
      <c r="AP174" s="62"/>
      <c r="AQ174" s="62"/>
      <c r="AR174" s="62"/>
      <c r="AS174" s="62"/>
      <c r="AT174" s="62"/>
      <c r="AU174" s="62"/>
      <c r="AV174" s="62"/>
      <c r="AW174" s="62"/>
      <c r="AX174" s="62"/>
      <c r="AY174" s="62"/>
    </row>
    <row r="175" spans="1:51" s="27" customFormat="1" ht="13.8">
      <c r="A175" s="89"/>
      <c r="B175" s="89"/>
      <c r="C175" s="89"/>
      <c r="D175" s="89"/>
      <c r="E175" s="89"/>
      <c r="F175" s="89"/>
      <c r="G175" s="89"/>
      <c r="H175" s="29"/>
      <c r="I175" s="29"/>
      <c r="J175" s="29"/>
      <c r="K175" s="29"/>
      <c r="L175" s="29"/>
      <c r="M175" s="29"/>
      <c r="N175" s="29"/>
      <c r="O175" s="178"/>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62"/>
      <c r="AP175" s="62"/>
      <c r="AQ175" s="62"/>
      <c r="AR175" s="62"/>
      <c r="AS175" s="62"/>
      <c r="AT175" s="62"/>
      <c r="AU175" s="62"/>
      <c r="AV175" s="62"/>
      <c r="AW175" s="62"/>
      <c r="AX175" s="62"/>
      <c r="AY175" s="62"/>
    </row>
    <row r="176" spans="1:51" s="27" customFormat="1" ht="13.8">
      <c r="A176" s="404" t="s">
        <v>66</v>
      </c>
      <c r="B176" s="405"/>
      <c r="C176" s="405"/>
      <c r="D176" s="405"/>
      <c r="E176" s="405"/>
      <c r="F176" s="406"/>
      <c r="G176" s="89"/>
      <c r="H176" s="29"/>
      <c r="I176" s="29"/>
      <c r="J176" s="29"/>
      <c r="K176" s="29"/>
      <c r="L176" s="29"/>
      <c r="M176" s="29"/>
      <c r="N176" s="29"/>
      <c r="O176" s="178"/>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62"/>
      <c r="AP176" s="62"/>
      <c r="AQ176" s="62"/>
      <c r="AR176" s="62"/>
      <c r="AS176" s="62"/>
      <c r="AT176" s="62"/>
      <c r="AU176" s="62"/>
      <c r="AV176" s="62"/>
      <c r="AW176" s="62"/>
      <c r="AX176" s="62"/>
      <c r="AY176" s="62"/>
    </row>
    <row r="177" spans="1:51" s="27" customFormat="1" ht="13.8">
      <c r="A177" s="90" t="s">
        <v>30</v>
      </c>
      <c r="B177" s="407" t="s">
        <v>23</v>
      </c>
      <c r="C177" s="408"/>
      <c r="D177" s="407" t="s">
        <v>33</v>
      </c>
      <c r="E177" s="408"/>
      <c r="F177" s="91" t="s">
        <v>22</v>
      </c>
      <c r="G177" s="89"/>
      <c r="H177" s="29"/>
      <c r="I177" s="29"/>
      <c r="J177" s="29"/>
      <c r="K177" s="29"/>
      <c r="L177" s="29"/>
      <c r="M177" s="29"/>
      <c r="N177" s="29"/>
      <c r="O177" s="178"/>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62"/>
      <c r="AP177" s="62"/>
      <c r="AQ177" s="62"/>
      <c r="AR177" s="62"/>
      <c r="AS177" s="62"/>
      <c r="AT177" s="62"/>
      <c r="AU177" s="62"/>
      <c r="AV177" s="62"/>
      <c r="AW177" s="62"/>
      <c r="AX177" s="62"/>
      <c r="AY177" s="62"/>
    </row>
    <row r="178" spans="1:51" s="27" customFormat="1" ht="13.8">
      <c r="A178" s="92">
        <v>1</v>
      </c>
      <c r="B178" s="93">
        <v>2</v>
      </c>
      <c r="C178" s="93">
        <v>3</v>
      </c>
      <c r="D178" s="93">
        <v>4</v>
      </c>
      <c r="E178" s="92">
        <v>5</v>
      </c>
      <c r="F178" s="93">
        <v>6</v>
      </c>
      <c r="G178" s="89"/>
      <c r="H178" s="29"/>
      <c r="I178" s="29"/>
      <c r="J178" s="29"/>
      <c r="K178" s="29"/>
      <c r="L178" s="29"/>
      <c r="M178" s="29"/>
      <c r="N178" s="29"/>
      <c r="O178" s="178"/>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62"/>
      <c r="AP178" s="62"/>
      <c r="AQ178" s="62"/>
      <c r="AR178" s="62"/>
      <c r="AS178" s="62"/>
      <c r="AT178" s="62"/>
      <c r="AU178" s="62"/>
      <c r="AV178" s="62"/>
      <c r="AW178" s="62"/>
      <c r="AX178" s="62"/>
      <c r="AY178" s="62"/>
    </row>
    <row r="179" spans="1:51" s="27" customFormat="1" ht="13.8">
      <c r="A179" s="94"/>
      <c r="B179" s="93" t="s">
        <v>51</v>
      </c>
      <c r="C179" s="93" t="s">
        <v>31</v>
      </c>
      <c r="D179" s="93" t="s">
        <v>51</v>
      </c>
      <c r="E179" s="93" t="s">
        <v>31</v>
      </c>
      <c r="F179" s="92" t="s">
        <v>31</v>
      </c>
      <c r="G179" s="89"/>
      <c r="H179" s="29"/>
      <c r="I179" s="29"/>
      <c r="J179" s="29"/>
      <c r="K179" s="29"/>
      <c r="L179" s="29"/>
      <c r="M179" s="29"/>
      <c r="N179" s="29"/>
      <c r="O179" s="178"/>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62"/>
      <c r="AP179" s="62"/>
      <c r="AQ179" s="62"/>
      <c r="AR179" s="62"/>
      <c r="AS179" s="62"/>
      <c r="AT179" s="62"/>
      <c r="AU179" s="62"/>
      <c r="AV179" s="62"/>
      <c r="AW179" s="62"/>
      <c r="AX179" s="62"/>
      <c r="AY179" s="62"/>
    </row>
    <row r="180" spans="1:51" s="27" customFormat="1" ht="13.8">
      <c r="A180" s="95"/>
      <c r="B180" s="90">
        <v>2025</v>
      </c>
      <c r="C180" s="90">
        <v>2026</v>
      </c>
      <c r="D180" s="90" t="s">
        <v>187</v>
      </c>
      <c r="E180" s="90" t="s">
        <v>220</v>
      </c>
      <c r="F180" s="96"/>
      <c r="G180" s="89"/>
      <c r="H180" s="29"/>
      <c r="I180" s="29"/>
      <c r="J180" s="29"/>
      <c r="K180" s="29"/>
      <c r="L180" s="29"/>
      <c r="M180" s="29"/>
      <c r="N180" s="29"/>
      <c r="O180" s="178"/>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62"/>
      <c r="AP180" s="62"/>
      <c r="AQ180" s="62"/>
      <c r="AR180" s="62"/>
      <c r="AS180" s="62"/>
      <c r="AT180" s="62"/>
      <c r="AU180" s="62"/>
      <c r="AV180" s="62"/>
      <c r="AW180" s="62"/>
      <c r="AX180" s="62"/>
      <c r="AY180" s="62"/>
    </row>
    <row r="181" spans="1:51" s="27" customFormat="1" ht="13.8">
      <c r="A181" s="97" t="s">
        <v>156</v>
      </c>
      <c r="B181" s="99">
        <f ca="1">IF(INDIRECT(ADDRESS(ROW('1'!AK$32),COLUMN('1'!AA10)+ROW(A2)+$B$15,1,1,"1"))="","",INDIRECT(ADDRESS(ROW('1'!AK$32),COLUMN('1'!AA10)+ROW(A1)+$B$15,1,1,"1")))</f>
        <v>82756.072209999897</v>
      </c>
      <c r="C181" s="99">
        <f ca="1">IF(INDIRECT(ADDRESS(ROW('1'!AK$32),COLUMN('1'!AA10)+ROW(A2)+$C$15,1,1,"1"))="","",INDIRECT(ADDRESS(ROW('1'!AK$32),COLUMN('1'!AA10)+ROW(A1)+$C$15,1,1,"1")))</f>
        <v>146223.47600000002</v>
      </c>
      <c r="D181" s="99">
        <f>'1'!$DA$32*ROW(A1)/12</f>
        <v>38872.569999999985</v>
      </c>
      <c r="E181" s="99">
        <f>'1'!$DI$32*ROW(A1)/12</f>
        <v>37366.489833333377</v>
      </c>
      <c r="F181" s="99">
        <f ca="1">IFERROR(C181-E181,"")</f>
        <v>108856.98616666664</v>
      </c>
      <c r="G181" s="89"/>
      <c r="H181" s="29"/>
      <c r="I181" s="29"/>
      <c r="J181" s="29"/>
      <c r="K181" s="29"/>
      <c r="L181" s="29"/>
      <c r="M181" s="29"/>
      <c r="N181" s="29"/>
      <c r="O181" s="178"/>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62"/>
      <c r="AP181" s="62"/>
      <c r="AQ181" s="62"/>
      <c r="AR181" s="62"/>
      <c r="AS181" s="62"/>
      <c r="AT181" s="62"/>
      <c r="AU181" s="62"/>
      <c r="AV181" s="62"/>
      <c r="AW181" s="62"/>
      <c r="AX181" s="62"/>
      <c r="AY181" s="62"/>
    </row>
    <row r="182" spans="1:51" s="27" customFormat="1" ht="13.8">
      <c r="A182" s="97" t="s">
        <v>157</v>
      </c>
      <c r="B182" s="99">
        <f ca="1">IF(INDIRECT(ADDRESS(ROW('1'!AK$32),COLUMN('1'!AA11)+ROW(A3)+$B$15,1,1,"1"))="","",INDIRECT(ADDRESS(ROW('1'!AK$32),COLUMN('1'!AA11)+ROW(A2)+$B$15,1,1,"1")))</f>
        <v>81244.570410000044</v>
      </c>
      <c r="C182" s="99">
        <f ca="1">IF(INDIRECT(ADDRESS(ROW('1'!AK$32),COLUMN('1'!AA11)+ROW(A3)+$C$15,1,1,"1"))="","",INDIRECT(ADDRESS(ROW('1'!AK$32),COLUMN('1'!AA11)+ROW(A2)+$C$15,1,1,"1")))</f>
        <v>148675.25084000011</v>
      </c>
      <c r="D182" s="99">
        <f>'1'!$DA$32*ROW(A2)/12</f>
        <v>77745.13999999997</v>
      </c>
      <c r="E182" s="99">
        <f>'1'!$DI$32*ROW(A2)/12</f>
        <v>74732.979666666753</v>
      </c>
      <c r="F182" s="99">
        <f t="shared" ref="F182:F192" ca="1" si="32">IFERROR(C182-E182,"")</f>
        <v>73942.271173333356</v>
      </c>
      <c r="G182" s="89"/>
      <c r="H182" s="29"/>
      <c r="I182" s="29"/>
      <c r="J182" s="29"/>
      <c r="K182" s="29"/>
      <c r="L182" s="29"/>
      <c r="M182" s="29"/>
      <c r="N182" s="29"/>
      <c r="O182" s="178"/>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62"/>
      <c r="AP182" s="62"/>
      <c r="AQ182" s="62"/>
      <c r="AR182" s="62"/>
      <c r="AS182" s="62"/>
      <c r="AT182" s="62"/>
      <c r="AU182" s="62"/>
      <c r="AV182" s="62"/>
      <c r="AW182" s="62"/>
      <c r="AX182" s="62"/>
      <c r="AY182" s="62"/>
    </row>
    <row r="183" spans="1:51" s="27" customFormat="1" ht="13.8">
      <c r="A183" s="97" t="s">
        <v>158</v>
      </c>
      <c r="B183" s="99">
        <f ca="1">IF(INDIRECT(ADDRESS(ROW('1'!AK$32),COLUMN('1'!AA12)+ROW(A4)+$B$15,1,1,"1"))="","",INDIRECT(ADDRESS(ROW('1'!AK$32),COLUMN('1'!AA12)+ROW(A3)+$B$15,1,1,"1")))</f>
        <v>98564.328629999887</v>
      </c>
      <c r="C183" s="99">
        <f ca="1">IF(INDIRECT(ADDRESS(ROW('1'!AK$32),COLUMN('1'!AA12)+ROW(A4)+$C$15,1,1,"1"))="","",INDIRECT(ADDRESS(ROW('1'!AK$32),COLUMN('1'!AA12)+ROW(A3)+$C$15,1,1,"1")))</f>
        <v>146268.74528999976</v>
      </c>
      <c r="D183" s="99">
        <f>'1'!$DA$32*ROW(A3)/12</f>
        <v>116617.70999999996</v>
      </c>
      <c r="E183" s="99">
        <f>'1'!$DI$32*ROW(A3)/12</f>
        <v>112099.46950000012</v>
      </c>
      <c r="F183" s="99">
        <f t="shared" ca="1" si="32"/>
        <v>34169.275789999636</v>
      </c>
      <c r="G183" s="89"/>
      <c r="H183" s="29"/>
      <c r="I183" s="29"/>
      <c r="J183" s="29"/>
      <c r="K183" s="29"/>
      <c r="L183" s="29"/>
      <c r="M183" s="29"/>
      <c r="N183" s="29"/>
      <c r="O183" s="178"/>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62"/>
      <c r="AP183" s="62"/>
      <c r="AQ183" s="62"/>
      <c r="AR183" s="62"/>
      <c r="AS183" s="62"/>
      <c r="AT183" s="62"/>
      <c r="AU183" s="62"/>
      <c r="AV183" s="62"/>
      <c r="AW183" s="62"/>
      <c r="AX183" s="62"/>
      <c r="AY183" s="62"/>
    </row>
    <row r="184" spans="1:51" s="27" customFormat="1" ht="13.8">
      <c r="A184" s="97" t="s">
        <v>159</v>
      </c>
      <c r="B184" s="99">
        <f ca="1">IF(INDIRECT(ADDRESS(ROW('1'!AK$32),COLUMN('1'!AA13)+ROW(A5)+$B$15,1,1,"1"))="","",INDIRECT(ADDRESS(ROW('1'!AK$32),COLUMN('1'!AA13)+ROW(A4)+$B$15,1,1,"1")))</f>
        <v>65220.430290000048</v>
      </c>
      <c r="C184" s="99">
        <f ca="1">IF(INDIRECT(ADDRESS(ROW('1'!AK$32),COLUMN('1'!AA13)+ROW(A5)+$C$15,1,1,"1"))="","",INDIRECT(ADDRESS(ROW('1'!AK$32),COLUMN('1'!AA13)+ROW(A4)+$C$15,1,1,"1")))</f>
        <v>137317.31988999993</v>
      </c>
      <c r="D184" s="99">
        <f>'1'!$DA$32*ROW(A4)/12</f>
        <v>155490.27999999994</v>
      </c>
      <c r="E184" s="99">
        <f>'1'!$DI$32*ROW(A4)/12</f>
        <v>149465.95933333351</v>
      </c>
      <c r="F184" s="99">
        <f t="shared" ca="1" si="32"/>
        <v>-12148.639443333581</v>
      </c>
      <c r="G184" s="89"/>
      <c r="H184" s="29"/>
      <c r="I184" s="29"/>
      <c r="J184" s="29"/>
      <c r="K184" s="29"/>
      <c r="L184" s="29"/>
      <c r="M184" s="29"/>
      <c r="N184" s="29"/>
      <c r="O184" s="178"/>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62"/>
      <c r="AP184" s="62"/>
      <c r="AQ184" s="62"/>
      <c r="AR184" s="62"/>
      <c r="AS184" s="62"/>
      <c r="AT184" s="62"/>
      <c r="AU184" s="62"/>
      <c r="AV184" s="62"/>
      <c r="AW184" s="62"/>
      <c r="AX184" s="62"/>
      <c r="AY184" s="62"/>
    </row>
    <row r="185" spans="1:51" s="27" customFormat="1" ht="13.8">
      <c r="A185" s="97" t="s">
        <v>160</v>
      </c>
      <c r="B185" s="99">
        <f ca="1">IF(INDIRECT(ADDRESS(ROW('1'!AK$32),COLUMN('1'!AA14)+ROW(A6)+$B$15,1,1,"1"))="","",INDIRECT(ADDRESS(ROW('1'!AK$32),COLUMN('1'!AA14)+ROW(A5)+$B$15,1,1,"1")))</f>
        <v>170363.10777000012</v>
      </c>
      <c r="C185" s="99">
        <f ca="1">IF(INDIRECT(ADDRESS(ROW('1'!AK$32),COLUMN('1'!AA14)+ROW(A6)+$C$15,1,1,"1"))="","",INDIRECT(ADDRESS(ROW('1'!AK$32),COLUMN('1'!AA14)+ROW(A5)+$C$15,1,1,"1")))</f>
        <v>242787.93826999981</v>
      </c>
      <c r="D185" s="99">
        <f>'1'!$DA$32*ROW(A5)/12</f>
        <v>194362.84999999995</v>
      </c>
      <c r="E185" s="99">
        <f>'1'!$DI$32*ROW(A5)/12</f>
        <v>186832.44916666686</v>
      </c>
      <c r="F185" s="99">
        <f t="shared" ca="1" si="32"/>
        <v>55955.489103332948</v>
      </c>
      <c r="G185" s="89"/>
      <c r="H185" s="29"/>
      <c r="I185" s="29"/>
      <c r="J185" s="29"/>
      <c r="K185" s="29"/>
      <c r="L185" s="29"/>
      <c r="M185" s="29"/>
      <c r="N185" s="29"/>
      <c r="O185" s="178"/>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62"/>
      <c r="AP185" s="62"/>
      <c r="AQ185" s="62"/>
      <c r="AR185" s="62"/>
      <c r="AS185" s="62"/>
      <c r="AT185" s="62"/>
      <c r="AU185" s="62"/>
      <c r="AV185" s="62"/>
      <c r="AW185" s="62"/>
      <c r="AX185" s="62"/>
      <c r="AY185" s="62"/>
    </row>
    <row r="186" spans="1:51" s="27" customFormat="1" ht="13.8">
      <c r="A186" s="97" t="s">
        <v>161</v>
      </c>
      <c r="B186" s="99">
        <f ca="1">IF(INDIRECT(ADDRESS(ROW('1'!AK$32),COLUMN('1'!AA15)+ROW(A7)+$B$15,1,1,"1"))="","",INDIRECT(ADDRESS(ROW('1'!AK$32),COLUMN('1'!AA15)+ROW(A6)+$B$15,1,1,"1")))</f>
        <v>223601.37920999946</v>
      </c>
      <c r="C186" s="99">
        <f ca="1">IF(INDIRECT(ADDRESS(ROW('1'!AK$32),COLUMN('1'!AA15)+ROW(A7)+$C$15,1,1,"1"))="","",INDIRECT(ADDRESS(ROW('1'!AK$32),COLUMN('1'!AA15)+ROW(A6)+$C$15,1,1,"1")))</f>
        <v>279513.0060200002</v>
      </c>
      <c r="D186" s="99">
        <f>'1'!$DA$32*ROW(A6)/12</f>
        <v>233235.41999999993</v>
      </c>
      <c r="E186" s="99">
        <f>'1'!$DI$32*ROW(A6)/12</f>
        <v>224198.93900000025</v>
      </c>
      <c r="F186" s="99">
        <f t="shared" ca="1" si="32"/>
        <v>55314.067019999959</v>
      </c>
      <c r="G186" s="89"/>
      <c r="H186" s="29"/>
      <c r="I186" s="29"/>
      <c r="J186" s="29"/>
      <c r="K186" s="29"/>
      <c r="L186" s="29"/>
      <c r="M186" s="29"/>
      <c r="N186" s="29"/>
      <c r="O186" s="178"/>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62"/>
      <c r="AP186" s="62"/>
      <c r="AQ186" s="62"/>
      <c r="AR186" s="62"/>
      <c r="AS186" s="62"/>
      <c r="AT186" s="62"/>
      <c r="AU186" s="62"/>
      <c r="AV186" s="62"/>
      <c r="AW186" s="62"/>
      <c r="AX186" s="62"/>
      <c r="AY186" s="62"/>
    </row>
    <row r="187" spans="1:51" s="27" customFormat="1" ht="13.8">
      <c r="A187" s="97" t="s">
        <v>162</v>
      </c>
      <c r="B187" s="99">
        <f ca="1">IF(INDIRECT(ADDRESS(ROW('1'!AK$32),COLUMN('1'!AA16)+ROW(A8)+$B$15,1,1,"1"))="","",INDIRECT(ADDRESS(ROW('1'!AK$32),COLUMN('1'!AA16)+ROW(A7)+$B$15,1,1,"1")))</f>
        <v>299206.14576000022</v>
      </c>
      <c r="C187" s="99">
        <f ca="1">IF(INDIRECT(ADDRESS(ROW('1'!AK$32),COLUMN('1'!AA16)+ROW(A8)+$C$15,1,1,"1"))="","",INDIRECT(ADDRESS(ROW('1'!AK$32),COLUMN('1'!AA16)+ROW(A7)+$C$15,1,1,"1")))</f>
        <v>360515.06083999993</v>
      </c>
      <c r="D187" s="99">
        <f>'1'!$DA$32*ROW(A7)/12</f>
        <v>272107.98999999993</v>
      </c>
      <c r="E187" s="99">
        <f>'1'!$DI$32*ROW(A7)/12</f>
        <v>261565.42883333363</v>
      </c>
      <c r="F187" s="99">
        <f t="shared" ca="1" si="32"/>
        <v>98949.632006666303</v>
      </c>
      <c r="G187" s="89"/>
      <c r="H187" s="29"/>
      <c r="I187" s="29"/>
      <c r="J187" s="29"/>
      <c r="K187" s="29"/>
      <c r="L187" s="29"/>
      <c r="M187" s="29"/>
      <c r="N187" s="29"/>
      <c r="O187" s="178"/>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62"/>
      <c r="AP187" s="62"/>
      <c r="AQ187" s="62"/>
      <c r="AR187" s="62"/>
      <c r="AS187" s="62"/>
      <c r="AT187" s="62"/>
      <c r="AU187" s="62"/>
      <c r="AV187" s="62"/>
      <c r="AW187" s="62"/>
      <c r="AX187" s="62"/>
      <c r="AY187" s="62"/>
    </row>
    <row r="188" spans="1:51" s="27" customFormat="1" ht="13.8">
      <c r="A188" s="97" t="s">
        <v>163</v>
      </c>
      <c r="B188" s="99">
        <f ca="1">IF(INDIRECT(ADDRESS(ROW('1'!AK$32),COLUMN('1'!AA17)+ROW(A9)+$B$15,1,1,"1"))="","",INDIRECT(ADDRESS(ROW('1'!AK$32),COLUMN('1'!AA17)+ROW(A8)+$B$15,1,1,"1")))</f>
        <v>378248.12340999953</v>
      </c>
      <c r="C188" s="99" t="str">
        <f ca="1">IF(INDIRECT(ADDRESS(ROW('1'!AK$32),COLUMN('1'!AA17)+ROW(A9)+$C$15,1,1,"1"))="","",INDIRECT(ADDRESS(ROW('1'!AK$32),COLUMN('1'!AA17)+ROW(A8)+$C$15,1,1,"1")))</f>
        <v/>
      </c>
      <c r="D188" s="99">
        <f>'1'!$DA$32*ROW(A8)/12</f>
        <v>310980.55999999988</v>
      </c>
      <c r="E188" s="99">
        <f>'1'!$DI$32*ROW(A8)/12</f>
        <v>298931.91866666701</v>
      </c>
      <c r="F188" s="99" t="str">
        <f t="shared" ca="1" si="32"/>
        <v/>
      </c>
      <c r="G188" s="89"/>
      <c r="H188" s="29"/>
      <c r="I188" s="29"/>
      <c r="J188" s="29"/>
      <c r="K188" s="29"/>
      <c r="L188" s="29"/>
      <c r="M188" s="29"/>
      <c r="N188" s="29"/>
      <c r="O188" s="178"/>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62"/>
      <c r="AP188" s="62"/>
      <c r="AQ188" s="62"/>
      <c r="AR188" s="62"/>
      <c r="AS188" s="62"/>
      <c r="AT188" s="62"/>
      <c r="AU188" s="62"/>
      <c r="AV188" s="62"/>
      <c r="AW188" s="62"/>
      <c r="AX188" s="62"/>
      <c r="AY188" s="62"/>
    </row>
    <row r="189" spans="1:51" s="27" customFormat="1" ht="13.8">
      <c r="A189" s="97" t="s">
        <v>164</v>
      </c>
      <c r="B189" s="99">
        <f ca="1">IF(INDIRECT(ADDRESS(ROW('1'!AK$32),COLUMN('1'!AA18)+ROW(A10)+$B$15,1,1,"1"))="","",INDIRECT(ADDRESS(ROW('1'!AK$32),COLUMN('1'!AA18)+ROW(A9)+$B$15,1,1,"1")))</f>
        <v>394742.26399999997</v>
      </c>
      <c r="C189" s="99" t="str">
        <f ca="1">IF(INDIRECT(ADDRESS(ROW('1'!AK$32),COLUMN('1'!AA18)+ROW(A10)+$C$15,1,1,"1"))="","",INDIRECT(ADDRESS(ROW('1'!AK$32),COLUMN('1'!AA18)+ROW(A9)+$C$15,1,1,"1")))</f>
        <v/>
      </c>
      <c r="D189" s="99">
        <f>'1'!$DA$32*ROW(A9)/12</f>
        <v>349853.12999999989</v>
      </c>
      <c r="E189" s="99">
        <f>'1'!$DI$32*ROW(A9)/12</f>
        <v>336298.40850000037</v>
      </c>
      <c r="F189" s="99" t="str">
        <f t="shared" ca="1" si="32"/>
        <v/>
      </c>
      <c r="G189" s="89"/>
      <c r="H189" s="29"/>
      <c r="I189" s="29"/>
      <c r="J189" s="29"/>
      <c r="K189" s="29"/>
      <c r="L189" s="29"/>
      <c r="M189" s="29"/>
      <c r="N189" s="29"/>
      <c r="O189" s="178"/>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62"/>
      <c r="AP189" s="62"/>
      <c r="AQ189" s="62"/>
      <c r="AR189" s="62"/>
      <c r="AS189" s="62"/>
      <c r="AT189" s="62"/>
      <c r="AU189" s="62"/>
      <c r="AV189" s="62"/>
      <c r="AW189" s="62"/>
      <c r="AX189" s="62"/>
      <c r="AY189" s="62"/>
    </row>
    <row r="190" spans="1:51" s="27" customFormat="1" ht="13.8">
      <c r="A190" s="97" t="s">
        <v>165</v>
      </c>
      <c r="B190" s="99">
        <f ca="1">IF(INDIRECT(ADDRESS(ROW('1'!AK$32),COLUMN('1'!AA19)+ROW(A11)+$B$15,1,1,"1"))="","",INDIRECT(ADDRESS(ROW('1'!AK$32),COLUMN('1'!AA19)+ROW(A10)+$B$15,1,1,"1")))</f>
        <v>445386.48235999933</v>
      </c>
      <c r="C190" s="99" t="str">
        <f ca="1">IF(INDIRECT(ADDRESS(ROW('1'!AK$32),COLUMN('1'!AA19)+ROW(A11)+$C$15,1,1,"1"))="","",INDIRECT(ADDRESS(ROW('1'!AK$32),COLUMN('1'!AA19)+ROW(A10)+$C$15,1,1,"1")))</f>
        <v/>
      </c>
      <c r="D190" s="99">
        <f>'1'!$DA$32*ROW(A10)/12</f>
        <v>388725.6999999999</v>
      </c>
      <c r="E190" s="99">
        <f>'1'!$DI$32*ROW(A10)/12</f>
        <v>373664.89833333372</v>
      </c>
      <c r="F190" s="99" t="str">
        <f t="shared" ca="1" si="32"/>
        <v/>
      </c>
      <c r="G190" s="89"/>
      <c r="H190" s="29"/>
      <c r="I190" s="29"/>
      <c r="J190" s="29"/>
      <c r="K190" s="29"/>
      <c r="L190" s="29"/>
      <c r="M190" s="29"/>
      <c r="N190" s="29"/>
      <c r="O190" s="178"/>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62"/>
      <c r="AP190" s="62"/>
      <c r="AQ190" s="62"/>
      <c r="AR190" s="62"/>
      <c r="AS190" s="62"/>
      <c r="AT190" s="62"/>
      <c r="AU190" s="62"/>
      <c r="AV190" s="62"/>
      <c r="AW190" s="62"/>
      <c r="AX190" s="62"/>
      <c r="AY190" s="62"/>
    </row>
    <row r="191" spans="1:51" s="27" customFormat="1" ht="13.8">
      <c r="A191" s="97" t="s">
        <v>166</v>
      </c>
      <c r="B191" s="99">
        <f ca="1">IF(INDIRECT(ADDRESS(ROW('1'!AK$32),COLUMN('1'!AA20)+ROW(A12)+$B$15,1,1,"1"))="","",INDIRECT(ADDRESS(ROW('1'!AK$32),COLUMN('1'!AA20)+ROW(A11)+$B$15,1,1,"1")))</f>
        <v>473630.13898999989</v>
      </c>
      <c r="C191" s="99" t="str">
        <f ca="1">IF(INDIRECT(ADDRESS(ROW('1'!AK$32),COLUMN('1'!AA20)+ROW(A12)+$C$15,1,1,"1"))="","",INDIRECT(ADDRESS(ROW('1'!AK$32),COLUMN('1'!AA20)+ROW(A11)+$C$15,1,1,"1")))</f>
        <v/>
      </c>
      <c r="D191" s="99">
        <f>'1'!$DA$32*ROW(A11)/12</f>
        <v>427598.26999999984</v>
      </c>
      <c r="E191" s="99">
        <f>'1'!$DI$32*ROW(A11)/12</f>
        <v>411031.38816666714</v>
      </c>
      <c r="F191" s="99" t="str">
        <f t="shared" ca="1" si="32"/>
        <v/>
      </c>
      <c r="G191" s="89"/>
      <c r="H191" s="29"/>
      <c r="I191" s="29"/>
      <c r="J191" s="29"/>
      <c r="K191" s="29"/>
      <c r="L191" s="29"/>
      <c r="M191" s="29"/>
      <c r="N191" s="29"/>
      <c r="O191" s="178"/>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62"/>
      <c r="AP191" s="62"/>
      <c r="AQ191" s="62"/>
      <c r="AR191" s="62"/>
      <c r="AS191" s="62"/>
      <c r="AT191" s="62"/>
      <c r="AU191" s="62"/>
      <c r="AV191" s="62"/>
      <c r="AW191" s="62"/>
      <c r="AX191" s="62"/>
      <c r="AY191" s="62"/>
    </row>
    <row r="192" spans="1:51" s="27" customFormat="1" ht="13.8">
      <c r="A192" s="97" t="s">
        <v>167</v>
      </c>
      <c r="B192" s="99">
        <f ca="1">IF(INDIRECT(ADDRESS(ROW('1'!AK$32),COLUMN('1'!AA21)+ROW(A13)+$B$15,1,1,"1"))="","",INDIRECT(ADDRESS(ROW('1'!AK$32),COLUMN('1'!AA21)+ROW(A12)+$B$15,1,1,"1")))</f>
        <v>475222.88457000069</v>
      </c>
      <c r="C192" s="99" t="str">
        <f ca="1">IF(INDIRECT(ADDRESS(ROW('1'!AK$32),COLUMN('1'!AA21)+ROW(A13)+$C$15,1,1,"1"))="","",INDIRECT(ADDRESS(ROW('1'!AK$32),COLUMN('1'!AA21)+ROW(A12)+$C$15,1,1,"1")))</f>
        <v/>
      </c>
      <c r="D192" s="99">
        <f>'1'!$DA$32*ROW(A12)/12</f>
        <v>466470.83999999985</v>
      </c>
      <c r="E192" s="99">
        <f>'1'!$DI$32*ROW(A12)/12</f>
        <v>448397.87800000049</v>
      </c>
      <c r="F192" s="99" t="str">
        <f t="shared" ca="1" si="32"/>
        <v/>
      </c>
      <c r="G192" s="89"/>
      <c r="H192" s="29"/>
      <c r="I192" s="29"/>
      <c r="J192" s="29"/>
      <c r="K192" s="29"/>
      <c r="L192" s="29"/>
      <c r="M192" s="29"/>
      <c r="N192" s="29"/>
      <c r="O192" s="178"/>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62"/>
      <c r="AP192" s="62"/>
      <c r="AQ192" s="62"/>
      <c r="AR192" s="62"/>
      <c r="AS192" s="62"/>
      <c r="AT192" s="62"/>
      <c r="AU192" s="62"/>
      <c r="AV192" s="62"/>
      <c r="AW192" s="62"/>
      <c r="AX192" s="62"/>
      <c r="AY192" s="62"/>
    </row>
    <row r="193" spans="1:51" s="27" customFormat="1" ht="13.8">
      <c r="A193" s="89"/>
      <c r="B193" s="89"/>
      <c r="C193" s="89"/>
      <c r="D193" s="89"/>
      <c r="E193" s="89"/>
      <c r="F193" s="89"/>
      <c r="G193" s="89"/>
      <c r="H193" s="29"/>
      <c r="I193" s="29"/>
      <c r="J193" s="29"/>
      <c r="K193" s="29"/>
      <c r="L193" s="29"/>
      <c r="M193" s="29"/>
      <c r="N193" s="29"/>
      <c r="O193" s="178"/>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62"/>
      <c r="AP193" s="62"/>
      <c r="AQ193" s="62"/>
      <c r="AR193" s="62"/>
      <c r="AS193" s="62"/>
      <c r="AT193" s="62"/>
      <c r="AU193" s="62"/>
      <c r="AV193" s="62"/>
      <c r="AW193" s="62"/>
      <c r="AX193" s="62"/>
      <c r="AY193" s="62"/>
    </row>
    <row r="194" spans="1:51" s="27" customFormat="1" ht="13.8">
      <c r="A194" s="89"/>
      <c r="B194" s="89"/>
      <c r="C194" s="89"/>
      <c r="D194" s="89"/>
      <c r="E194" s="89"/>
      <c r="F194" s="89"/>
      <c r="G194" s="89"/>
      <c r="H194" s="29"/>
      <c r="I194" s="29"/>
      <c r="J194" s="29"/>
      <c r="K194" s="29"/>
      <c r="L194" s="29"/>
      <c r="M194" s="29"/>
      <c r="N194" s="29"/>
      <c r="O194" s="178"/>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62"/>
      <c r="AP194" s="62"/>
      <c r="AQ194" s="62"/>
      <c r="AR194" s="62"/>
      <c r="AS194" s="62"/>
      <c r="AT194" s="62"/>
      <c r="AU194" s="62"/>
      <c r="AV194" s="62"/>
      <c r="AW194" s="62"/>
      <c r="AX194" s="62"/>
      <c r="AY194" s="62"/>
    </row>
    <row r="195" spans="1:51" s="27" customFormat="1" ht="13.8">
      <c r="A195" s="89"/>
      <c r="B195" s="89"/>
      <c r="C195" s="89"/>
      <c r="D195" s="89"/>
      <c r="E195" s="89"/>
      <c r="F195" s="89"/>
      <c r="G195" s="89"/>
      <c r="H195" s="29"/>
      <c r="I195" s="29"/>
      <c r="J195" s="29"/>
      <c r="K195" s="29"/>
      <c r="L195" s="29"/>
      <c r="M195" s="29"/>
      <c r="N195" s="29"/>
      <c r="O195" s="178"/>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62"/>
      <c r="AP195" s="62"/>
      <c r="AQ195" s="62"/>
      <c r="AR195" s="62"/>
      <c r="AS195" s="62"/>
      <c r="AT195" s="62"/>
      <c r="AU195" s="62"/>
      <c r="AV195" s="62"/>
      <c r="AW195" s="62"/>
      <c r="AX195" s="62"/>
      <c r="AY195" s="62"/>
    </row>
    <row r="196" spans="1:51" s="27" customFormat="1" ht="13.8">
      <c r="A196" s="89"/>
      <c r="B196" s="89"/>
      <c r="C196" s="89"/>
      <c r="D196" s="89"/>
      <c r="E196" s="89"/>
      <c r="F196" s="89"/>
      <c r="G196" s="89"/>
      <c r="H196" s="29"/>
      <c r="I196" s="29"/>
      <c r="J196" s="29"/>
      <c r="K196" s="29"/>
      <c r="L196" s="29"/>
      <c r="M196" s="29"/>
      <c r="N196" s="29"/>
      <c r="O196" s="178"/>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62"/>
      <c r="AP196" s="62"/>
      <c r="AQ196" s="62"/>
      <c r="AR196" s="62"/>
      <c r="AS196" s="62"/>
      <c r="AT196" s="62"/>
      <c r="AU196" s="62"/>
      <c r="AV196" s="62"/>
      <c r="AW196" s="62"/>
      <c r="AX196" s="62"/>
      <c r="AY196" s="62"/>
    </row>
    <row r="197" spans="1:51" s="27" customFormat="1" ht="13.8">
      <c r="A197" s="89"/>
      <c r="B197" s="89"/>
      <c r="C197" s="89"/>
      <c r="D197" s="89"/>
      <c r="E197" s="89"/>
      <c r="F197" s="89"/>
      <c r="G197" s="89"/>
      <c r="H197" s="29"/>
      <c r="I197" s="29"/>
      <c r="J197" s="29"/>
      <c r="K197" s="29"/>
      <c r="L197" s="29"/>
      <c r="M197" s="29"/>
      <c r="N197" s="29"/>
      <c r="O197" s="178"/>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62"/>
      <c r="AP197" s="62"/>
      <c r="AQ197" s="62"/>
      <c r="AR197" s="62"/>
      <c r="AS197" s="62"/>
      <c r="AT197" s="62"/>
      <c r="AU197" s="62"/>
      <c r="AV197" s="62"/>
      <c r="AW197" s="62"/>
      <c r="AX197" s="62"/>
      <c r="AY197" s="62"/>
    </row>
    <row r="198" spans="1:51" s="27" customFormat="1" ht="13.8">
      <c r="A198" s="89"/>
      <c r="B198" s="89"/>
      <c r="C198" s="89"/>
      <c r="D198" s="89"/>
      <c r="E198" s="89"/>
      <c r="F198" s="89"/>
      <c r="G198" s="89"/>
      <c r="H198" s="29"/>
      <c r="I198" s="29"/>
      <c r="J198" s="29"/>
      <c r="K198" s="29"/>
      <c r="L198" s="29"/>
      <c r="M198" s="29"/>
      <c r="N198" s="29"/>
      <c r="O198" s="178"/>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62"/>
      <c r="AP198" s="62"/>
      <c r="AQ198" s="62"/>
      <c r="AR198" s="62"/>
      <c r="AS198" s="62"/>
      <c r="AT198" s="62"/>
      <c r="AU198" s="62"/>
      <c r="AV198" s="62"/>
      <c r="AW198" s="62"/>
      <c r="AX198" s="62"/>
      <c r="AY198" s="62"/>
    </row>
    <row r="199" spans="1:51" s="27" customFormat="1" ht="13.8">
      <c r="A199" s="89"/>
      <c r="B199" s="89"/>
      <c r="C199" s="89"/>
      <c r="D199" s="89"/>
      <c r="E199" s="89"/>
      <c r="F199" s="89"/>
      <c r="G199" s="89"/>
      <c r="H199" s="29"/>
      <c r="I199" s="29"/>
      <c r="J199" s="29"/>
      <c r="K199" s="29"/>
      <c r="L199" s="29"/>
      <c r="M199" s="29"/>
      <c r="N199" s="29"/>
      <c r="O199" s="178"/>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62"/>
      <c r="AP199" s="62"/>
      <c r="AQ199" s="62"/>
      <c r="AR199" s="62"/>
      <c r="AS199" s="62"/>
      <c r="AT199" s="62"/>
      <c r="AU199" s="62"/>
      <c r="AV199" s="62"/>
      <c r="AW199" s="62"/>
      <c r="AX199" s="62"/>
      <c r="AY199" s="62"/>
    </row>
    <row r="200" spans="1:51" s="27" customFormat="1" ht="13.8">
      <c r="A200" s="89"/>
      <c r="B200" s="89"/>
      <c r="C200" s="89"/>
      <c r="D200" s="89"/>
      <c r="E200" s="89"/>
      <c r="F200" s="89"/>
      <c r="G200" s="89"/>
      <c r="H200" s="29"/>
      <c r="I200" s="29"/>
      <c r="J200" s="29"/>
      <c r="K200" s="29"/>
      <c r="L200" s="29"/>
      <c r="M200" s="29"/>
      <c r="N200" s="29"/>
      <c r="O200" s="178"/>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62"/>
      <c r="AP200" s="62"/>
      <c r="AQ200" s="62"/>
      <c r="AR200" s="62"/>
      <c r="AS200" s="62"/>
      <c r="AT200" s="62"/>
      <c r="AU200" s="62"/>
      <c r="AV200" s="62"/>
      <c r="AW200" s="62"/>
      <c r="AX200" s="62"/>
      <c r="AY200" s="62"/>
    </row>
    <row r="201" spans="1:51" s="27" customFormat="1" ht="13.8">
      <c r="A201" s="89"/>
      <c r="B201" s="89"/>
      <c r="C201" s="89"/>
      <c r="D201" s="89"/>
      <c r="E201" s="89"/>
      <c r="F201" s="89"/>
      <c r="G201" s="89"/>
      <c r="H201" s="29"/>
      <c r="I201" s="29"/>
      <c r="J201" s="29"/>
      <c r="K201" s="29"/>
      <c r="L201" s="29"/>
      <c r="M201" s="29"/>
      <c r="N201" s="29"/>
      <c r="O201" s="178"/>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62"/>
      <c r="AP201" s="62"/>
      <c r="AQ201" s="62"/>
      <c r="AR201" s="62"/>
      <c r="AS201" s="62"/>
      <c r="AT201" s="62"/>
      <c r="AU201" s="62"/>
      <c r="AV201" s="62"/>
      <c r="AW201" s="62"/>
      <c r="AX201" s="62"/>
      <c r="AY201" s="62"/>
    </row>
    <row r="202" spans="1:51" s="27" customFormat="1" ht="13.8">
      <c r="A202" s="89"/>
      <c r="B202" s="89"/>
      <c r="C202" s="89"/>
      <c r="D202" s="89"/>
      <c r="E202" s="89"/>
      <c r="F202" s="89"/>
      <c r="G202" s="89"/>
      <c r="H202" s="29"/>
      <c r="I202" s="29"/>
      <c r="J202" s="29"/>
      <c r="K202" s="29"/>
      <c r="L202" s="29"/>
      <c r="M202" s="29"/>
      <c r="N202" s="29"/>
      <c r="O202" s="178"/>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62"/>
      <c r="AP202" s="62"/>
      <c r="AQ202" s="62"/>
      <c r="AR202" s="62"/>
      <c r="AS202" s="62"/>
      <c r="AT202" s="62"/>
      <c r="AU202" s="62"/>
      <c r="AV202" s="62"/>
      <c r="AW202" s="62"/>
      <c r="AX202" s="62"/>
      <c r="AY202" s="62"/>
    </row>
    <row r="203" spans="1:51" s="27" customFormat="1" ht="13.8">
      <c r="A203" s="89"/>
      <c r="B203" s="89"/>
      <c r="C203" s="89"/>
      <c r="D203" s="89"/>
      <c r="E203" s="89"/>
      <c r="F203" s="89"/>
      <c r="G203" s="89"/>
      <c r="H203" s="29"/>
      <c r="I203" s="29"/>
      <c r="J203" s="29"/>
      <c r="K203" s="29"/>
      <c r="L203" s="29"/>
      <c r="M203" s="29"/>
      <c r="N203" s="29"/>
      <c r="O203" s="178"/>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62"/>
      <c r="AP203" s="62"/>
      <c r="AQ203" s="62"/>
      <c r="AR203" s="62"/>
      <c r="AS203" s="62"/>
      <c r="AT203" s="62"/>
      <c r="AU203" s="62"/>
      <c r="AV203" s="62"/>
      <c r="AW203" s="62"/>
      <c r="AX203" s="62"/>
      <c r="AY203" s="62"/>
    </row>
    <row r="204" spans="1:51" s="27" customFormat="1" ht="13.8">
      <c r="A204" s="89"/>
      <c r="B204" s="89"/>
      <c r="C204" s="89"/>
      <c r="D204" s="89"/>
      <c r="E204" s="89"/>
      <c r="F204" s="89"/>
      <c r="G204" s="89"/>
      <c r="H204" s="29"/>
      <c r="I204" s="29"/>
      <c r="J204" s="29"/>
      <c r="K204" s="29"/>
      <c r="L204" s="29"/>
      <c r="M204" s="29"/>
      <c r="N204" s="29"/>
      <c r="O204" s="178"/>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62"/>
      <c r="AP204" s="62"/>
      <c r="AQ204" s="62"/>
      <c r="AR204" s="62"/>
      <c r="AS204" s="62"/>
      <c r="AT204" s="62"/>
      <c r="AU204" s="62"/>
      <c r="AV204" s="62"/>
      <c r="AW204" s="62"/>
      <c r="AX204" s="62"/>
      <c r="AY204" s="62"/>
    </row>
    <row r="205" spans="1:51" s="27" customFormat="1" ht="13.8">
      <c r="A205" s="89"/>
      <c r="B205" s="89"/>
      <c r="C205" s="89"/>
      <c r="D205" s="89"/>
      <c r="E205" s="89"/>
      <c r="F205" s="89"/>
      <c r="G205" s="89"/>
      <c r="H205" s="29"/>
      <c r="I205" s="29"/>
      <c r="J205" s="29"/>
      <c r="K205" s="29"/>
      <c r="L205" s="29"/>
      <c r="M205" s="29"/>
      <c r="N205" s="29"/>
      <c r="O205" s="178"/>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62"/>
      <c r="AP205" s="62"/>
      <c r="AQ205" s="62"/>
      <c r="AR205" s="62"/>
      <c r="AS205" s="62"/>
      <c r="AT205" s="62"/>
      <c r="AU205" s="62"/>
      <c r="AV205" s="62"/>
      <c r="AW205" s="62"/>
      <c r="AX205" s="62"/>
      <c r="AY205" s="62"/>
    </row>
    <row r="206" spans="1:51" s="27" customFormat="1" ht="13.8">
      <c r="A206" s="89"/>
      <c r="B206" s="89"/>
      <c r="C206" s="89"/>
      <c r="D206" s="89"/>
      <c r="E206" s="89"/>
      <c r="F206" s="89"/>
      <c r="G206" s="89"/>
      <c r="H206" s="29"/>
      <c r="I206" s="29"/>
      <c r="J206" s="29"/>
      <c r="K206" s="29"/>
      <c r="L206" s="29"/>
      <c r="M206" s="29"/>
      <c r="N206" s="29"/>
      <c r="O206" s="178"/>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62"/>
      <c r="AP206" s="62"/>
      <c r="AQ206" s="62"/>
      <c r="AR206" s="62"/>
      <c r="AS206" s="62"/>
      <c r="AT206" s="62"/>
      <c r="AU206" s="62"/>
      <c r="AV206" s="62"/>
      <c r="AW206" s="62"/>
      <c r="AX206" s="62"/>
      <c r="AY206" s="62"/>
    </row>
    <row r="207" spans="1:51" s="27" customFormat="1" ht="13.8">
      <c r="A207" s="89"/>
      <c r="B207" s="89"/>
      <c r="C207" s="89"/>
      <c r="D207" s="89"/>
      <c r="E207" s="89"/>
      <c r="F207" s="89"/>
      <c r="G207" s="89"/>
      <c r="H207" s="29"/>
      <c r="I207" s="29"/>
      <c r="J207" s="29"/>
      <c r="K207" s="29"/>
      <c r="L207" s="29"/>
      <c r="M207" s="29"/>
      <c r="N207" s="29"/>
      <c r="O207" s="178"/>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62"/>
      <c r="AP207" s="62"/>
      <c r="AQ207" s="62"/>
      <c r="AR207" s="62"/>
      <c r="AS207" s="62"/>
      <c r="AT207" s="62"/>
      <c r="AU207" s="62"/>
      <c r="AV207" s="62"/>
      <c r="AW207" s="62"/>
      <c r="AX207" s="62"/>
      <c r="AY207" s="62"/>
    </row>
    <row r="208" spans="1:51" s="27" customFormat="1" ht="13.8">
      <c r="A208" s="89"/>
      <c r="B208" s="89"/>
      <c r="C208" s="89"/>
      <c r="D208" s="89"/>
      <c r="E208" s="89"/>
      <c r="F208" s="89"/>
      <c r="G208" s="89"/>
      <c r="H208" s="29"/>
      <c r="I208" s="29"/>
      <c r="J208" s="29"/>
      <c r="K208" s="29"/>
      <c r="L208" s="29"/>
      <c r="M208" s="29"/>
      <c r="N208" s="29"/>
      <c r="O208" s="178"/>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62"/>
      <c r="AP208" s="62"/>
      <c r="AQ208" s="62"/>
      <c r="AR208" s="62"/>
      <c r="AS208" s="62"/>
      <c r="AT208" s="62"/>
      <c r="AU208" s="62"/>
      <c r="AV208" s="62"/>
      <c r="AW208" s="62"/>
      <c r="AX208" s="62"/>
      <c r="AY208" s="62"/>
    </row>
    <row r="209" spans="1:51" s="27" customFormat="1" ht="13.8">
      <c r="A209" s="89"/>
      <c r="B209" s="89"/>
      <c r="C209" s="89"/>
      <c r="D209" s="89"/>
      <c r="E209" s="89"/>
      <c r="F209" s="89"/>
      <c r="G209" s="89"/>
      <c r="H209" s="29"/>
      <c r="I209" s="29"/>
      <c r="J209" s="29"/>
      <c r="K209" s="29"/>
      <c r="L209" s="29"/>
      <c r="M209" s="29"/>
      <c r="N209" s="29"/>
      <c r="O209" s="178"/>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62"/>
      <c r="AP209" s="62"/>
      <c r="AQ209" s="62"/>
      <c r="AR209" s="62"/>
      <c r="AS209" s="62"/>
      <c r="AT209" s="62"/>
      <c r="AU209" s="62"/>
      <c r="AV209" s="62"/>
      <c r="AW209" s="62"/>
      <c r="AX209" s="62"/>
      <c r="AY209" s="62"/>
    </row>
    <row r="210" spans="1:51" s="27" customFormat="1" ht="13.8">
      <c r="A210" s="89"/>
      <c r="B210" s="89"/>
      <c r="C210" s="89"/>
      <c r="D210" s="89"/>
      <c r="E210" s="89"/>
      <c r="F210" s="89"/>
      <c r="G210" s="89"/>
      <c r="H210" s="29"/>
      <c r="I210" s="29"/>
      <c r="J210" s="29"/>
      <c r="K210" s="29"/>
      <c r="L210" s="29"/>
      <c r="M210" s="29"/>
      <c r="N210" s="29"/>
      <c r="O210" s="178"/>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62"/>
      <c r="AP210" s="62"/>
      <c r="AQ210" s="62"/>
      <c r="AR210" s="62"/>
      <c r="AS210" s="62"/>
      <c r="AT210" s="62"/>
      <c r="AU210" s="62"/>
      <c r="AV210" s="62"/>
      <c r="AW210" s="62"/>
      <c r="AX210" s="62"/>
      <c r="AY210" s="62"/>
    </row>
    <row r="211" spans="1:51" s="27" customFormat="1" ht="13.8">
      <c r="A211" s="89"/>
      <c r="B211" s="89"/>
      <c r="C211" s="89"/>
      <c r="D211" s="89"/>
      <c r="E211" s="89"/>
      <c r="F211" s="89"/>
      <c r="G211" s="89"/>
      <c r="H211" s="29"/>
      <c r="I211" s="29"/>
      <c r="J211" s="29"/>
      <c r="K211" s="29"/>
      <c r="L211" s="29"/>
      <c r="M211" s="29"/>
      <c r="N211" s="29"/>
      <c r="O211" s="178"/>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62"/>
      <c r="AP211" s="62"/>
      <c r="AQ211" s="62"/>
      <c r="AR211" s="62"/>
      <c r="AS211" s="62"/>
      <c r="AT211" s="62"/>
      <c r="AU211" s="62"/>
      <c r="AV211" s="62"/>
      <c r="AW211" s="62"/>
      <c r="AX211" s="62"/>
      <c r="AY211" s="62"/>
    </row>
    <row r="212" spans="1:51" s="27" customFormat="1" ht="13.8">
      <c r="A212" s="89"/>
      <c r="B212" s="89"/>
      <c r="C212" s="89"/>
      <c r="D212" s="89"/>
      <c r="E212" s="89"/>
      <c r="F212" s="89"/>
      <c r="G212" s="89"/>
      <c r="H212" s="29"/>
      <c r="I212" s="29"/>
      <c r="J212" s="29"/>
      <c r="K212" s="29"/>
      <c r="L212" s="29"/>
      <c r="M212" s="29"/>
      <c r="N212" s="29"/>
      <c r="O212" s="178"/>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62"/>
      <c r="AP212" s="62"/>
      <c r="AQ212" s="62"/>
      <c r="AR212" s="62"/>
      <c r="AS212" s="62"/>
      <c r="AT212" s="62"/>
      <c r="AU212" s="62"/>
      <c r="AV212" s="62"/>
      <c r="AW212" s="62"/>
      <c r="AX212" s="62"/>
      <c r="AY212" s="62"/>
    </row>
    <row r="213" spans="1:51" s="27" customFormat="1" ht="13.8">
      <c r="A213" s="89"/>
      <c r="B213" s="89"/>
      <c r="C213" s="89"/>
      <c r="D213" s="89"/>
      <c r="E213" s="89"/>
      <c r="F213" s="89"/>
      <c r="G213" s="89"/>
      <c r="H213" s="29"/>
      <c r="I213" s="29"/>
      <c r="J213" s="29"/>
      <c r="K213" s="29"/>
      <c r="L213" s="29"/>
      <c r="M213" s="29"/>
      <c r="N213" s="29"/>
      <c r="O213" s="178"/>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62"/>
      <c r="AP213" s="62"/>
      <c r="AQ213" s="62"/>
      <c r="AR213" s="62"/>
      <c r="AS213" s="62"/>
      <c r="AT213" s="62"/>
      <c r="AU213" s="62"/>
      <c r="AV213" s="62"/>
      <c r="AW213" s="62"/>
      <c r="AX213" s="62"/>
      <c r="AY213" s="62"/>
    </row>
    <row r="214" spans="1:51" s="27" customFormat="1" ht="13.8">
      <c r="A214" s="89"/>
      <c r="B214" s="89"/>
      <c r="C214" s="89"/>
      <c r="D214" s="89"/>
      <c r="E214" s="89"/>
      <c r="F214" s="89"/>
      <c r="G214" s="89"/>
      <c r="H214" s="29"/>
      <c r="I214" s="29"/>
      <c r="J214" s="29"/>
      <c r="K214" s="29"/>
      <c r="L214" s="29"/>
      <c r="M214" s="29"/>
      <c r="N214" s="29"/>
      <c r="O214" s="178"/>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62"/>
      <c r="AP214" s="62"/>
      <c r="AQ214" s="62"/>
      <c r="AR214" s="62"/>
      <c r="AS214" s="62"/>
      <c r="AT214" s="62"/>
      <c r="AU214" s="62"/>
      <c r="AV214" s="62"/>
      <c r="AW214" s="62"/>
      <c r="AX214" s="62"/>
      <c r="AY214" s="62"/>
    </row>
    <row r="215" spans="1:51" s="27" customFormat="1" ht="13.8">
      <c r="A215" s="89"/>
      <c r="B215" s="89"/>
      <c r="C215" s="89"/>
      <c r="D215" s="89"/>
      <c r="E215" s="89"/>
      <c r="F215" s="89"/>
      <c r="G215" s="89"/>
      <c r="H215" s="29"/>
      <c r="I215" s="29"/>
      <c r="J215" s="29"/>
      <c r="K215" s="29"/>
      <c r="L215" s="29"/>
      <c r="M215" s="29"/>
      <c r="N215" s="29"/>
      <c r="O215" s="178"/>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62"/>
      <c r="AP215" s="62"/>
      <c r="AQ215" s="62"/>
      <c r="AR215" s="62"/>
      <c r="AS215" s="62"/>
      <c r="AT215" s="62"/>
      <c r="AU215" s="62"/>
      <c r="AV215" s="62"/>
      <c r="AW215" s="62"/>
      <c r="AX215" s="62"/>
      <c r="AY215" s="62"/>
    </row>
    <row r="216" spans="1:51" s="27" customFormat="1" ht="13.8">
      <c r="A216" s="89"/>
      <c r="B216" s="89"/>
      <c r="C216" s="89"/>
      <c r="D216" s="89"/>
      <c r="E216" s="89"/>
      <c r="F216" s="89"/>
      <c r="G216" s="89"/>
      <c r="H216" s="29"/>
      <c r="I216" s="29"/>
      <c r="J216" s="29"/>
      <c r="K216" s="29"/>
      <c r="L216" s="29"/>
      <c r="M216" s="29"/>
      <c r="N216" s="29"/>
      <c r="O216" s="178"/>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62"/>
      <c r="AP216" s="62"/>
      <c r="AQ216" s="62"/>
      <c r="AR216" s="62"/>
      <c r="AS216" s="62"/>
      <c r="AT216" s="62"/>
      <c r="AU216" s="62"/>
      <c r="AV216" s="62"/>
      <c r="AW216" s="62"/>
      <c r="AX216" s="62"/>
      <c r="AY216" s="62"/>
    </row>
    <row r="217" spans="1:51" s="27" customFormat="1" ht="13.8" hidden="1">
      <c r="A217" s="404" t="s">
        <v>67</v>
      </c>
      <c r="B217" s="405"/>
      <c r="C217" s="405"/>
      <c r="D217" s="405"/>
      <c r="E217" s="405"/>
      <c r="F217" s="406"/>
      <c r="G217" s="89"/>
      <c r="H217" s="29"/>
      <c r="I217" s="29"/>
      <c r="J217" s="29"/>
      <c r="K217" s="29"/>
      <c r="L217" s="29"/>
      <c r="M217" s="29"/>
      <c r="N217" s="29"/>
      <c r="O217" s="178"/>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62"/>
      <c r="AP217" s="62"/>
      <c r="AQ217" s="62"/>
      <c r="AR217" s="62"/>
      <c r="AS217" s="62"/>
      <c r="AT217" s="62"/>
      <c r="AU217" s="62"/>
      <c r="AV217" s="62"/>
      <c r="AW217" s="62"/>
      <c r="AX217" s="62"/>
      <c r="AY217" s="62"/>
    </row>
    <row r="218" spans="1:51" s="27" customFormat="1" ht="13.8" hidden="1">
      <c r="A218" s="90" t="s">
        <v>30</v>
      </c>
      <c r="B218" s="407" t="s">
        <v>23</v>
      </c>
      <c r="C218" s="408"/>
      <c r="D218" s="407" t="s">
        <v>33</v>
      </c>
      <c r="E218" s="408"/>
      <c r="F218" s="91" t="s">
        <v>22</v>
      </c>
      <c r="G218" s="89"/>
      <c r="H218" s="29"/>
      <c r="I218" s="29"/>
      <c r="J218" s="29"/>
      <c r="K218" s="29"/>
      <c r="L218" s="29"/>
      <c r="M218" s="29"/>
      <c r="N218" s="29"/>
      <c r="O218" s="178"/>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62"/>
      <c r="AP218" s="62"/>
      <c r="AQ218" s="62"/>
      <c r="AR218" s="62"/>
      <c r="AS218" s="62"/>
      <c r="AT218" s="62"/>
      <c r="AU218" s="62"/>
      <c r="AV218" s="62"/>
      <c r="AW218" s="62"/>
      <c r="AX218" s="62"/>
      <c r="AY218" s="62"/>
    </row>
    <row r="219" spans="1:51" s="27" customFormat="1" ht="13.8" hidden="1">
      <c r="A219" s="92">
        <v>1</v>
      </c>
      <c r="B219" s="93">
        <v>2</v>
      </c>
      <c r="C219" s="93">
        <v>3</v>
      </c>
      <c r="D219" s="93">
        <v>4</v>
      </c>
      <c r="E219" s="92">
        <v>5</v>
      </c>
      <c r="F219" s="93">
        <v>6</v>
      </c>
      <c r="G219" s="89"/>
      <c r="H219" s="29"/>
      <c r="I219" s="29"/>
      <c r="J219" s="29"/>
      <c r="K219" s="29"/>
      <c r="L219" s="29"/>
      <c r="M219" s="29"/>
      <c r="N219" s="29"/>
      <c r="O219" s="178"/>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62"/>
      <c r="AP219" s="62"/>
      <c r="AQ219" s="62"/>
      <c r="AR219" s="62"/>
      <c r="AS219" s="62"/>
      <c r="AT219" s="62"/>
      <c r="AU219" s="62"/>
      <c r="AV219" s="62"/>
      <c r="AW219" s="62"/>
      <c r="AX219" s="62"/>
      <c r="AY219" s="62"/>
    </row>
    <row r="220" spans="1:51" s="27" customFormat="1" ht="13.8" hidden="1">
      <c r="A220" s="94"/>
      <c r="B220" s="93" t="s">
        <v>51</v>
      </c>
      <c r="C220" s="93" t="s">
        <v>31</v>
      </c>
      <c r="D220" s="93" t="s">
        <v>51</v>
      </c>
      <c r="E220" s="93" t="s">
        <v>31</v>
      </c>
      <c r="F220" s="92" t="s">
        <v>31</v>
      </c>
      <c r="G220" s="89"/>
      <c r="H220" s="29"/>
      <c r="I220" s="29"/>
      <c r="J220" s="29"/>
      <c r="K220" s="29"/>
      <c r="L220" s="29"/>
      <c r="M220" s="29"/>
      <c r="N220" s="29"/>
      <c r="O220" s="178"/>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62"/>
      <c r="AP220" s="62"/>
      <c r="AQ220" s="62"/>
      <c r="AR220" s="62"/>
      <c r="AS220" s="62"/>
      <c r="AT220" s="62"/>
      <c r="AU220" s="62"/>
      <c r="AV220" s="62"/>
      <c r="AW220" s="62"/>
      <c r="AX220" s="62"/>
      <c r="AY220" s="62"/>
    </row>
    <row r="221" spans="1:51" s="27" customFormat="1" ht="13.8" hidden="1">
      <c r="A221" s="95"/>
      <c r="B221" s="90">
        <v>2025</v>
      </c>
      <c r="C221" s="90">
        <v>2026</v>
      </c>
      <c r="D221" s="90" t="s">
        <v>187</v>
      </c>
      <c r="E221" s="90" t="s">
        <v>220</v>
      </c>
      <c r="F221" s="96"/>
      <c r="G221" s="89"/>
      <c r="H221" s="78" t="str">
        <f t="shared" ref="H221:P221" si="33">C415</f>
        <v>2021 fakts</v>
      </c>
      <c r="I221" s="78" t="str">
        <f t="shared" si="33"/>
        <v>2021 fakts</v>
      </c>
      <c r="J221" s="78" t="str">
        <f t="shared" si="33"/>
        <v>2022 plāns</v>
      </c>
      <c r="K221" s="78" t="str">
        <f t="shared" si="33"/>
        <v>2022 fakts</v>
      </c>
      <c r="L221" s="78" t="str">
        <f t="shared" si="33"/>
        <v>2023 plāns</v>
      </c>
      <c r="M221" s="78" t="str">
        <f t="shared" si="33"/>
        <v>2023 fakts</v>
      </c>
      <c r="N221" s="78" t="str">
        <f t="shared" si="33"/>
        <v>2024 fakts</v>
      </c>
      <c r="O221" s="78" t="str">
        <f t="shared" si="33"/>
        <v>2025 fakts</v>
      </c>
      <c r="P221" s="78" t="str">
        <f t="shared" si="33"/>
        <v>2026 prognoze</v>
      </c>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62"/>
      <c r="AP221" s="62"/>
      <c r="AQ221" s="62"/>
      <c r="AR221" s="62"/>
      <c r="AS221" s="62"/>
      <c r="AT221" s="62"/>
      <c r="AU221" s="62"/>
      <c r="AV221" s="62"/>
      <c r="AW221" s="62"/>
      <c r="AX221" s="62"/>
      <c r="AY221" s="62"/>
    </row>
    <row r="222" spans="1:51" s="27" customFormat="1" ht="13.8" hidden="1">
      <c r="A222" s="97" t="s">
        <v>156</v>
      </c>
      <c r="B222" s="98">
        <f ca="1">IFERROR(B181/O222*100,"")</f>
        <v>0.19233883411475639</v>
      </c>
      <c r="C222" s="98">
        <f ca="1">IFERROR(C181/P222*100,"")</f>
        <v>0.32110018503519483</v>
      </c>
      <c r="D222" s="98">
        <f>IFERROR(D181/O222*100,"")</f>
        <v>9.0346298382450285E-2</v>
      </c>
      <c r="E222" s="98">
        <f>IFERROR(E181/P222*100,"")</f>
        <v>8.205513319625278E-2</v>
      </c>
      <c r="F222" s="98">
        <f ca="1">IFERROR(C222-E222,"")</f>
        <v>0.23904505183894204</v>
      </c>
      <c r="G222" s="89"/>
      <c r="H222" s="78">
        <f t="shared" ref="H222:H233" si="34">C416</f>
        <v>32283779</v>
      </c>
      <c r="I222" s="78">
        <f t="shared" ref="I222:I233" si="35">D416</f>
        <v>32283779</v>
      </c>
      <c r="J222" s="78">
        <f t="shared" ref="J222:J233" si="36">E416</f>
        <v>36103656</v>
      </c>
      <c r="K222" s="78">
        <f t="shared" ref="K222:K233" si="37">F416</f>
        <v>36088740</v>
      </c>
      <c r="L222" s="78">
        <f t="shared" ref="L222:L233" si="38">G416</f>
        <v>39072483</v>
      </c>
      <c r="M222" s="78">
        <f t="shared" ref="M222:M233" si="39">H416</f>
        <v>39564221</v>
      </c>
      <c r="N222" s="78">
        <f t="shared" ref="N222:N233" si="40">I416</f>
        <v>40652318</v>
      </c>
      <c r="O222" s="78">
        <f t="shared" ref="O222:O233" si="41">J416</f>
        <v>43026190</v>
      </c>
      <c r="P222" s="78">
        <f t="shared" ref="P222:P233" si="42">K416</f>
        <v>45538272.107807383</v>
      </c>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62"/>
      <c r="AP222" s="62"/>
      <c r="AQ222" s="62"/>
      <c r="AR222" s="62"/>
      <c r="AS222" s="62"/>
      <c r="AT222" s="62"/>
      <c r="AU222" s="62"/>
      <c r="AV222" s="62"/>
      <c r="AW222" s="62"/>
      <c r="AX222" s="62"/>
      <c r="AY222" s="62"/>
    </row>
    <row r="223" spans="1:51" s="27" customFormat="1" ht="13.8" hidden="1">
      <c r="A223" s="97" t="s">
        <v>157</v>
      </c>
      <c r="B223" s="98">
        <f t="shared" ref="B223:B233" ca="1" si="43">IFERROR(B182/O223*100,"")</f>
        <v>0.18882585330004828</v>
      </c>
      <c r="C223" s="98">
        <f t="shared" ref="C223:C233" ca="1" si="44">IFERROR(C182/P223*100,"")</f>
        <v>0.32648417245174799</v>
      </c>
      <c r="D223" s="98">
        <f t="shared" ref="D223:D233" si="45">IFERROR(D182/O223*100,"")</f>
        <v>0.18069259676490057</v>
      </c>
      <c r="E223" s="98">
        <f t="shared" ref="E223:E233" si="46">IFERROR(E182/P223*100,"")</f>
        <v>0.16411026639250556</v>
      </c>
      <c r="F223" s="98">
        <f t="shared" ref="F223:F233" ca="1" si="47">IFERROR(C223-E223,"")</f>
        <v>0.16237390605924243</v>
      </c>
      <c r="G223" s="89"/>
      <c r="H223" s="78">
        <f t="shared" si="34"/>
        <v>32283779</v>
      </c>
      <c r="I223" s="78">
        <f t="shared" si="35"/>
        <v>32283779</v>
      </c>
      <c r="J223" s="78">
        <f t="shared" si="36"/>
        <v>36103656</v>
      </c>
      <c r="K223" s="78">
        <f t="shared" si="37"/>
        <v>36088740</v>
      </c>
      <c r="L223" s="78">
        <f t="shared" si="38"/>
        <v>39072483</v>
      </c>
      <c r="M223" s="78">
        <f t="shared" si="39"/>
        <v>39564221</v>
      </c>
      <c r="N223" s="78">
        <f t="shared" si="40"/>
        <v>40652318</v>
      </c>
      <c r="O223" s="78">
        <f t="shared" si="41"/>
        <v>43026190</v>
      </c>
      <c r="P223" s="78">
        <f t="shared" si="42"/>
        <v>45538272.107807383</v>
      </c>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62"/>
      <c r="AP223" s="62"/>
      <c r="AQ223" s="62"/>
      <c r="AR223" s="62"/>
      <c r="AS223" s="62"/>
      <c r="AT223" s="62"/>
      <c r="AU223" s="62"/>
      <c r="AV223" s="62"/>
      <c r="AW223" s="62"/>
      <c r="AX223" s="62"/>
      <c r="AY223" s="62"/>
    </row>
    <row r="224" spans="1:51" s="27" customFormat="1" ht="13.8" hidden="1">
      <c r="A224" s="97" t="s">
        <v>158</v>
      </c>
      <c r="B224" s="98">
        <f t="shared" ca="1" si="43"/>
        <v>0.2290798433000921</v>
      </c>
      <c r="C224" s="98">
        <f t="shared" ca="1" si="44"/>
        <v>0.32119959436256795</v>
      </c>
      <c r="D224" s="98">
        <f t="shared" si="45"/>
        <v>0.27103889514735086</v>
      </c>
      <c r="E224" s="98">
        <f t="shared" si="46"/>
        <v>0.24616539958875833</v>
      </c>
      <c r="F224" s="98">
        <f t="shared" ca="1" si="47"/>
        <v>7.5034194773809626E-2</v>
      </c>
      <c r="G224" s="89"/>
      <c r="H224" s="78">
        <f t="shared" si="34"/>
        <v>32283779</v>
      </c>
      <c r="I224" s="78">
        <f t="shared" si="35"/>
        <v>32283779</v>
      </c>
      <c r="J224" s="78">
        <f t="shared" si="36"/>
        <v>36103656</v>
      </c>
      <c r="K224" s="78">
        <f t="shared" si="37"/>
        <v>36088740</v>
      </c>
      <c r="L224" s="78">
        <f t="shared" si="38"/>
        <v>39072483</v>
      </c>
      <c r="M224" s="78">
        <f t="shared" si="39"/>
        <v>39564221</v>
      </c>
      <c r="N224" s="78">
        <f t="shared" si="40"/>
        <v>40652318</v>
      </c>
      <c r="O224" s="78">
        <f t="shared" si="41"/>
        <v>43026190</v>
      </c>
      <c r="P224" s="78">
        <f t="shared" si="42"/>
        <v>45538272.107807383</v>
      </c>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62"/>
      <c r="AP224" s="62"/>
      <c r="AQ224" s="62"/>
      <c r="AR224" s="62"/>
      <c r="AS224" s="62"/>
      <c r="AT224" s="62"/>
      <c r="AU224" s="62"/>
      <c r="AV224" s="62"/>
      <c r="AW224" s="62"/>
      <c r="AX224" s="62"/>
      <c r="AY224" s="62"/>
    </row>
    <row r="225" spans="1:51" s="27" customFormat="1" ht="13.8" hidden="1">
      <c r="A225" s="97" t="s">
        <v>159</v>
      </c>
      <c r="B225" s="98">
        <f t="shared" ca="1" si="43"/>
        <v>0.15158309459889441</v>
      </c>
      <c r="C225" s="98">
        <f t="shared" ca="1" si="44"/>
        <v>0.30154266627621412</v>
      </c>
      <c r="D225" s="98">
        <f t="shared" si="45"/>
        <v>0.36138519352980114</v>
      </c>
      <c r="E225" s="98">
        <f t="shared" si="46"/>
        <v>0.32822053278501112</v>
      </c>
      <c r="F225" s="98">
        <f t="shared" ca="1" si="47"/>
        <v>-2.6677866508796999E-2</v>
      </c>
      <c r="G225" s="89"/>
      <c r="H225" s="78">
        <f t="shared" si="34"/>
        <v>32283779</v>
      </c>
      <c r="I225" s="78">
        <f t="shared" si="35"/>
        <v>32283779</v>
      </c>
      <c r="J225" s="78">
        <f t="shared" si="36"/>
        <v>36103656</v>
      </c>
      <c r="K225" s="78">
        <f t="shared" si="37"/>
        <v>36088740</v>
      </c>
      <c r="L225" s="78">
        <f t="shared" si="38"/>
        <v>39072483</v>
      </c>
      <c r="M225" s="78">
        <f t="shared" si="39"/>
        <v>39564221</v>
      </c>
      <c r="N225" s="78">
        <f t="shared" si="40"/>
        <v>40652318</v>
      </c>
      <c r="O225" s="78">
        <f t="shared" si="41"/>
        <v>43026190</v>
      </c>
      <c r="P225" s="78">
        <f t="shared" si="42"/>
        <v>45538272.107807383</v>
      </c>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62"/>
      <c r="AP225" s="62"/>
      <c r="AQ225" s="62"/>
      <c r="AR225" s="62"/>
      <c r="AS225" s="62"/>
      <c r="AT225" s="62"/>
      <c r="AU225" s="62"/>
      <c r="AV225" s="62"/>
      <c r="AW225" s="62"/>
      <c r="AX225" s="62"/>
      <c r="AY225" s="62"/>
    </row>
    <row r="226" spans="1:51" s="27" customFormat="1" ht="13.8" hidden="1">
      <c r="A226" s="97" t="s">
        <v>160</v>
      </c>
      <c r="B226" s="98">
        <f t="shared" ca="1" si="43"/>
        <v>0.39595211142329845</v>
      </c>
      <c r="C226" s="98">
        <f t="shared" ca="1" si="44"/>
        <v>0.5331514065690135</v>
      </c>
      <c r="D226" s="98">
        <f t="shared" si="45"/>
        <v>0.45173149191225148</v>
      </c>
      <c r="E226" s="98">
        <f t="shared" si="46"/>
        <v>0.41027566598126386</v>
      </c>
      <c r="F226" s="98">
        <f t="shared" ca="1" si="47"/>
        <v>0.12287574058774964</v>
      </c>
      <c r="G226" s="89"/>
      <c r="H226" s="78">
        <f t="shared" si="34"/>
        <v>32283779</v>
      </c>
      <c r="I226" s="78">
        <f t="shared" si="35"/>
        <v>32283779</v>
      </c>
      <c r="J226" s="78">
        <f t="shared" si="36"/>
        <v>36103656</v>
      </c>
      <c r="K226" s="78">
        <f t="shared" si="37"/>
        <v>36088740</v>
      </c>
      <c r="L226" s="78">
        <f t="shared" si="38"/>
        <v>39072483</v>
      </c>
      <c r="M226" s="78">
        <f t="shared" si="39"/>
        <v>39564221</v>
      </c>
      <c r="N226" s="78">
        <f t="shared" si="40"/>
        <v>40652318</v>
      </c>
      <c r="O226" s="78">
        <f t="shared" si="41"/>
        <v>43026190</v>
      </c>
      <c r="P226" s="78">
        <f t="shared" si="42"/>
        <v>45538272.107807383</v>
      </c>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62"/>
      <c r="AP226" s="62"/>
      <c r="AQ226" s="62"/>
      <c r="AR226" s="62"/>
      <c r="AS226" s="62"/>
      <c r="AT226" s="62"/>
      <c r="AU226" s="62"/>
      <c r="AV226" s="62"/>
      <c r="AW226" s="62"/>
      <c r="AX226" s="62"/>
      <c r="AY226" s="62"/>
    </row>
    <row r="227" spans="1:51" s="27" customFormat="1" ht="13.8" hidden="1">
      <c r="A227" s="97" t="s">
        <v>161</v>
      </c>
      <c r="B227" s="98">
        <f t="shared" ca="1" si="43"/>
        <v>0.51968668201855539</v>
      </c>
      <c r="C227" s="98">
        <f t="shared" ca="1" si="44"/>
        <v>0.6137980056825183</v>
      </c>
      <c r="D227" s="98">
        <f t="shared" si="45"/>
        <v>0.54207779029470171</v>
      </c>
      <c r="E227" s="98">
        <f t="shared" si="46"/>
        <v>0.49233079917751665</v>
      </c>
      <c r="F227" s="98">
        <f t="shared" ca="1" si="47"/>
        <v>0.12146720650500165</v>
      </c>
      <c r="G227" s="89"/>
      <c r="H227" s="78">
        <f t="shared" si="34"/>
        <v>32283779</v>
      </c>
      <c r="I227" s="78">
        <f t="shared" si="35"/>
        <v>32283779</v>
      </c>
      <c r="J227" s="78">
        <f t="shared" si="36"/>
        <v>36103656</v>
      </c>
      <c r="K227" s="78">
        <f t="shared" si="37"/>
        <v>36088740</v>
      </c>
      <c r="L227" s="78">
        <f t="shared" si="38"/>
        <v>39072483</v>
      </c>
      <c r="M227" s="78">
        <f t="shared" si="39"/>
        <v>39564221</v>
      </c>
      <c r="N227" s="78">
        <f t="shared" si="40"/>
        <v>40652318</v>
      </c>
      <c r="O227" s="78">
        <f t="shared" si="41"/>
        <v>43026190</v>
      </c>
      <c r="P227" s="78">
        <f t="shared" si="42"/>
        <v>45538272.107807383</v>
      </c>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62"/>
      <c r="AP227" s="62"/>
      <c r="AQ227" s="62"/>
      <c r="AR227" s="62"/>
      <c r="AS227" s="62"/>
      <c r="AT227" s="62"/>
      <c r="AU227" s="62"/>
      <c r="AV227" s="62"/>
      <c r="AW227" s="62"/>
      <c r="AX227" s="62"/>
      <c r="AY227" s="62"/>
    </row>
    <row r="228" spans="1:51" s="27" customFormat="1" ht="13.8" hidden="1">
      <c r="A228" s="97" t="s">
        <v>162</v>
      </c>
      <c r="B228" s="98">
        <f t="shared" ca="1" si="43"/>
        <v>0.69540469597703214</v>
      </c>
      <c r="C228" s="98">
        <f t="shared" ca="1" si="44"/>
        <v>0.79167487950907744</v>
      </c>
      <c r="D228" s="98">
        <f t="shared" si="45"/>
        <v>0.63242408867715205</v>
      </c>
      <c r="E228" s="98">
        <f t="shared" si="46"/>
        <v>0.57438593237376945</v>
      </c>
      <c r="F228" s="98">
        <f t="shared" ca="1" si="47"/>
        <v>0.217288947135308</v>
      </c>
      <c r="G228" s="89"/>
      <c r="H228" s="78">
        <f t="shared" si="34"/>
        <v>32283779</v>
      </c>
      <c r="I228" s="78">
        <f t="shared" si="35"/>
        <v>32283779</v>
      </c>
      <c r="J228" s="78">
        <f t="shared" si="36"/>
        <v>36103656</v>
      </c>
      <c r="K228" s="78">
        <f t="shared" si="37"/>
        <v>36088740</v>
      </c>
      <c r="L228" s="78">
        <f t="shared" si="38"/>
        <v>39072483</v>
      </c>
      <c r="M228" s="78">
        <f t="shared" si="39"/>
        <v>39564221</v>
      </c>
      <c r="N228" s="78">
        <f t="shared" si="40"/>
        <v>40652318</v>
      </c>
      <c r="O228" s="78">
        <f t="shared" si="41"/>
        <v>43026190</v>
      </c>
      <c r="P228" s="78">
        <f t="shared" si="42"/>
        <v>45538272.107807383</v>
      </c>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62"/>
      <c r="AP228" s="62"/>
      <c r="AQ228" s="62"/>
      <c r="AR228" s="62"/>
      <c r="AS228" s="62"/>
      <c r="AT228" s="62"/>
      <c r="AU228" s="62"/>
      <c r="AV228" s="62"/>
      <c r="AW228" s="62"/>
      <c r="AX228" s="62"/>
      <c r="AY228" s="62"/>
    </row>
    <row r="229" spans="1:51" s="27" customFormat="1" ht="13.8" hidden="1">
      <c r="A229" s="97" t="s">
        <v>163</v>
      </c>
      <c r="B229" s="98">
        <f t="shared" ca="1" si="43"/>
        <v>0.87911135847724264</v>
      </c>
      <c r="C229" s="98" t="str">
        <f t="shared" ca="1" si="44"/>
        <v/>
      </c>
      <c r="D229" s="98">
        <f t="shared" si="45"/>
        <v>0.72277038705960228</v>
      </c>
      <c r="E229" s="98">
        <f t="shared" si="46"/>
        <v>0.65644106557002224</v>
      </c>
      <c r="F229" s="98" t="str">
        <f t="shared" ca="1" si="47"/>
        <v/>
      </c>
      <c r="G229" s="89"/>
      <c r="H229" s="78">
        <f t="shared" si="34"/>
        <v>32283779</v>
      </c>
      <c r="I229" s="78">
        <f t="shared" si="35"/>
        <v>32283779</v>
      </c>
      <c r="J229" s="78">
        <f t="shared" si="36"/>
        <v>36103656</v>
      </c>
      <c r="K229" s="78">
        <f t="shared" si="37"/>
        <v>36088740</v>
      </c>
      <c r="L229" s="78">
        <f t="shared" si="38"/>
        <v>39072483</v>
      </c>
      <c r="M229" s="78">
        <f t="shared" si="39"/>
        <v>39564221</v>
      </c>
      <c r="N229" s="78">
        <f t="shared" si="40"/>
        <v>40652318</v>
      </c>
      <c r="O229" s="78">
        <f t="shared" si="41"/>
        <v>43026190</v>
      </c>
      <c r="P229" s="78">
        <f t="shared" si="42"/>
        <v>45538272.107807383</v>
      </c>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62"/>
      <c r="AP229" s="62"/>
      <c r="AQ229" s="62"/>
      <c r="AR229" s="62"/>
      <c r="AS229" s="62"/>
      <c r="AT229" s="62"/>
      <c r="AU229" s="62"/>
      <c r="AV229" s="62"/>
      <c r="AW229" s="62"/>
      <c r="AX229" s="62"/>
      <c r="AY229" s="62"/>
    </row>
    <row r="230" spans="1:51" s="27" customFormat="1" ht="13.8" hidden="1">
      <c r="A230" s="97" t="s">
        <v>164</v>
      </c>
      <c r="B230" s="98">
        <f t="shared" ca="1" si="43"/>
        <v>0.9174464762043768</v>
      </c>
      <c r="C230" s="98" t="str">
        <f t="shared" ca="1" si="44"/>
        <v/>
      </c>
      <c r="D230" s="98">
        <f t="shared" si="45"/>
        <v>0.81311668544205262</v>
      </c>
      <c r="E230" s="98">
        <f t="shared" si="46"/>
        <v>0.73849619876627504</v>
      </c>
      <c r="F230" s="98" t="str">
        <f t="shared" ca="1" si="47"/>
        <v/>
      </c>
      <c r="G230" s="89"/>
      <c r="H230" s="78">
        <f t="shared" si="34"/>
        <v>32283779</v>
      </c>
      <c r="I230" s="78">
        <f t="shared" si="35"/>
        <v>32283779</v>
      </c>
      <c r="J230" s="78">
        <f t="shared" si="36"/>
        <v>36103656</v>
      </c>
      <c r="K230" s="78">
        <f t="shared" si="37"/>
        <v>36088740</v>
      </c>
      <c r="L230" s="78">
        <f t="shared" si="38"/>
        <v>39072483</v>
      </c>
      <c r="M230" s="78">
        <f t="shared" si="39"/>
        <v>39564221</v>
      </c>
      <c r="N230" s="78">
        <f t="shared" si="40"/>
        <v>40652318</v>
      </c>
      <c r="O230" s="78">
        <f t="shared" si="41"/>
        <v>43026190</v>
      </c>
      <c r="P230" s="78">
        <f t="shared" si="42"/>
        <v>45538272.107807383</v>
      </c>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62"/>
      <c r="AP230" s="62"/>
      <c r="AQ230" s="62"/>
      <c r="AR230" s="62"/>
      <c r="AS230" s="62"/>
      <c r="AT230" s="62"/>
      <c r="AU230" s="62"/>
      <c r="AV230" s="62"/>
      <c r="AW230" s="62"/>
      <c r="AX230" s="62"/>
      <c r="AY230" s="62"/>
    </row>
    <row r="231" spans="1:51" s="27" customFormat="1" ht="13.8" hidden="1">
      <c r="A231" s="97" t="s">
        <v>165</v>
      </c>
      <c r="B231" s="98">
        <f t="shared" ca="1" si="43"/>
        <v>1.0351520373056489</v>
      </c>
      <c r="C231" s="98" t="str">
        <f t="shared" ca="1" si="44"/>
        <v/>
      </c>
      <c r="D231" s="98">
        <f t="shared" si="45"/>
        <v>0.90346298382450296</v>
      </c>
      <c r="E231" s="98">
        <f t="shared" si="46"/>
        <v>0.82055133196252772</v>
      </c>
      <c r="F231" s="98" t="str">
        <f t="shared" ca="1" si="47"/>
        <v/>
      </c>
      <c r="G231" s="89"/>
      <c r="H231" s="78">
        <f t="shared" si="34"/>
        <v>32283779</v>
      </c>
      <c r="I231" s="78">
        <f t="shared" si="35"/>
        <v>32283779</v>
      </c>
      <c r="J231" s="78">
        <f t="shared" si="36"/>
        <v>36103656</v>
      </c>
      <c r="K231" s="78">
        <f t="shared" si="37"/>
        <v>36088740</v>
      </c>
      <c r="L231" s="78">
        <f t="shared" si="38"/>
        <v>39072483</v>
      </c>
      <c r="M231" s="78">
        <f t="shared" si="39"/>
        <v>39564221</v>
      </c>
      <c r="N231" s="78">
        <f t="shared" si="40"/>
        <v>40652318</v>
      </c>
      <c r="O231" s="78">
        <f t="shared" si="41"/>
        <v>43026190</v>
      </c>
      <c r="P231" s="78">
        <f t="shared" si="42"/>
        <v>45538272.107807383</v>
      </c>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62"/>
      <c r="AP231" s="62"/>
      <c r="AQ231" s="62"/>
      <c r="AR231" s="62"/>
      <c r="AS231" s="62"/>
      <c r="AT231" s="62"/>
      <c r="AU231" s="62"/>
      <c r="AV231" s="62"/>
      <c r="AW231" s="62"/>
      <c r="AX231" s="62"/>
      <c r="AY231" s="62"/>
    </row>
    <row r="232" spans="1:51" s="27" customFormat="1" ht="13.8" hidden="1">
      <c r="A232" s="97" t="s">
        <v>166</v>
      </c>
      <c r="B232" s="98">
        <f t="shared" ca="1" si="43"/>
        <v>1.1007949785700288</v>
      </c>
      <c r="C232" s="98" t="str">
        <f t="shared" ca="1" si="44"/>
        <v/>
      </c>
      <c r="D232" s="98">
        <f t="shared" si="45"/>
        <v>0.99380928220695308</v>
      </c>
      <c r="E232" s="98">
        <f t="shared" si="46"/>
        <v>0.90260646515878051</v>
      </c>
      <c r="F232" s="98" t="str">
        <f t="shared" ca="1" si="47"/>
        <v/>
      </c>
      <c r="G232" s="89"/>
      <c r="H232" s="78">
        <f t="shared" si="34"/>
        <v>32283779</v>
      </c>
      <c r="I232" s="78">
        <f t="shared" si="35"/>
        <v>32283779</v>
      </c>
      <c r="J232" s="78">
        <f t="shared" si="36"/>
        <v>36103656</v>
      </c>
      <c r="K232" s="78">
        <f t="shared" si="37"/>
        <v>36088740</v>
      </c>
      <c r="L232" s="78">
        <f t="shared" si="38"/>
        <v>39072483</v>
      </c>
      <c r="M232" s="78">
        <f t="shared" si="39"/>
        <v>39564221</v>
      </c>
      <c r="N232" s="78">
        <f t="shared" si="40"/>
        <v>40652318</v>
      </c>
      <c r="O232" s="78">
        <f t="shared" si="41"/>
        <v>43026190</v>
      </c>
      <c r="P232" s="78">
        <f t="shared" si="42"/>
        <v>45538272.107807383</v>
      </c>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62"/>
      <c r="AP232" s="62"/>
      <c r="AQ232" s="62"/>
      <c r="AR232" s="62"/>
      <c r="AS232" s="62"/>
      <c r="AT232" s="62"/>
      <c r="AU232" s="62"/>
      <c r="AV232" s="62"/>
      <c r="AW232" s="62"/>
      <c r="AX232" s="62"/>
      <c r="AY232" s="62"/>
    </row>
    <row r="233" spans="1:51" s="27" customFormat="1" ht="13.8" hidden="1">
      <c r="A233" s="97" t="s">
        <v>167</v>
      </c>
      <c r="B233" s="98">
        <f t="shared" ca="1" si="43"/>
        <v>1.1044967834009953</v>
      </c>
      <c r="C233" s="98" t="str">
        <f t="shared" ca="1" si="44"/>
        <v/>
      </c>
      <c r="D233" s="98">
        <f t="shared" si="45"/>
        <v>1.0841555805894034</v>
      </c>
      <c r="E233" s="98">
        <f t="shared" si="46"/>
        <v>0.98466159835503331</v>
      </c>
      <c r="F233" s="98" t="str">
        <f t="shared" ca="1" si="47"/>
        <v/>
      </c>
      <c r="G233" s="89"/>
      <c r="H233" s="78">
        <f t="shared" si="34"/>
        <v>32283779</v>
      </c>
      <c r="I233" s="78">
        <f t="shared" si="35"/>
        <v>32283779</v>
      </c>
      <c r="J233" s="78">
        <f t="shared" si="36"/>
        <v>36103656</v>
      </c>
      <c r="K233" s="78">
        <f t="shared" si="37"/>
        <v>36088740</v>
      </c>
      <c r="L233" s="78">
        <f t="shared" si="38"/>
        <v>39072483</v>
      </c>
      <c r="M233" s="78">
        <f t="shared" si="39"/>
        <v>39564221</v>
      </c>
      <c r="N233" s="78">
        <f t="shared" si="40"/>
        <v>40652318</v>
      </c>
      <c r="O233" s="78">
        <f t="shared" si="41"/>
        <v>43026190</v>
      </c>
      <c r="P233" s="78">
        <f t="shared" si="42"/>
        <v>45538272.107807383</v>
      </c>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62"/>
      <c r="AP233" s="62"/>
      <c r="AQ233" s="62"/>
      <c r="AR233" s="62"/>
      <c r="AS233" s="62"/>
      <c r="AT233" s="62"/>
      <c r="AU233" s="62"/>
      <c r="AV233" s="62"/>
      <c r="AW233" s="62"/>
      <c r="AX233" s="62"/>
      <c r="AY233" s="62"/>
    </row>
    <row r="234" spans="1:51" s="27" customFormat="1" ht="13.8" hidden="1">
      <c r="A234" s="89"/>
      <c r="B234" s="89"/>
      <c r="C234" s="89"/>
      <c r="D234" s="89"/>
      <c r="E234" s="89"/>
      <c r="F234" s="89"/>
      <c r="G234" s="89"/>
      <c r="H234" s="29"/>
      <c r="I234" s="29"/>
      <c r="J234" s="29"/>
      <c r="K234" s="29"/>
      <c r="L234" s="29"/>
      <c r="M234" s="29"/>
      <c r="N234" s="29"/>
      <c r="O234" s="178"/>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62"/>
      <c r="AP234" s="62"/>
      <c r="AQ234" s="62"/>
      <c r="AR234" s="62"/>
      <c r="AS234" s="62"/>
      <c r="AT234" s="62"/>
      <c r="AU234" s="62"/>
      <c r="AV234" s="62"/>
      <c r="AW234" s="62"/>
      <c r="AX234" s="62"/>
      <c r="AY234" s="62"/>
    </row>
    <row r="235" spans="1:51" s="27" customFormat="1" ht="13.8" hidden="1">
      <c r="A235" s="89"/>
      <c r="B235" s="89"/>
      <c r="C235" s="89"/>
      <c r="D235" s="89"/>
      <c r="E235" s="89"/>
      <c r="F235" s="89"/>
      <c r="G235" s="89"/>
      <c r="H235" s="29"/>
      <c r="I235" s="29"/>
      <c r="J235" s="29"/>
      <c r="K235" s="29"/>
      <c r="L235" s="29"/>
      <c r="M235" s="29"/>
      <c r="N235" s="29"/>
      <c r="O235" s="178"/>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62"/>
      <c r="AP235" s="62"/>
      <c r="AQ235" s="62"/>
      <c r="AR235" s="62"/>
      <c r="AS235" s="62"/>
      <c r="AT235" s="62"/>
      <c r="AU235" s="62"/>
      <c r="AV235" s="62"/>
      <c r="AW235" s="62"/>
      <c r="AX235" s="62"/>
      <c r="AY235" s="62"/>
    </row>
    <row r="236" spans="1:51" s="27" customFormat="1" ht="13.8" hidden="1">
      <c r="A236" s="89"/>
      <c r="B236" s="89"/>
      <c r="C236" s="89"/>
      <c r="D236" s="89"/>
      <c r="E236" s="89"/>
      <c r="F236" s="89"/>
      <c r="G236" s="89"/>
      <c r="H236" s="29"/>
      <c r="I236" s="29"/>
      <c r="J236" s="29"/>
      <c r="K236" s="29"/>
      <c r="L236" s="29"/>
      <c r="M236" s="29"/>
      <c r="N236" s="29"/>
      <c r="O236" s="178"/>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62"/>
      <c r="AP236" s="62"/>
      <c r="AQ236" s="62"/>
      <c r="AR236" s="62"/>
      <c r="AS236" s="62"/>
      <c r="AT236" s="62"/>
      <c r="AU236" s="62"/>
      <c r="AV236" s="62"/>
      <c r="AW236" s="62"/>
      <c r="AX236" s="62"/>
      <c r="AY236" s="62"/>
    </row>
    <row r="237" spans="1:51" s="27" customFormat="1" ht="13.8" hidden="1">
      <c r="A237" s="89"/>
      <c r="B237" s="89"/>
      <c r="C237" s="89"/>
      <c r="D237" s="89"/>
      <c r="E237" s="89"/>
      <c r="F237" s="89"/>
      <c r="G237" s="89"/>
      <c r="H237" s="29"/>
      <c r="I237" s="29"/>
      <c r="J237" s="29"/>
      <c r="K237" s="29"/>
      <c r="L237" s="29"/>
      <c r="M237" s="29"/>
      <c r="N237" s="29"/>
      <c r="O237" s="178"/>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62"/>
      <c r="AP237" s="62"/>
      <c r="AQ237" s="62"/>
      <c r="AR237" s="62"/>
      <c r="AS237" s="62"/>
      <c r="AT237" s="62"/>
      <c r="AU237" s="62"/>
      <c r="AV237" s="62"/>
      <c r="AW237" s="62"/>
      <c r="AX237" s="62"/>
      <c r="AY237" s="62"/>
    </row>
    <row r="238" spans="1:51" s="27" customFormat="1" ht="13.8" hidden="1">
      <c r="A238" s="89"/>
      <c r="B238" s="89"/>
      <c r="C238" s="89"/>
      <c r="D238" s="89"/>
      <c r="E238" s="89"/>
      <c r="F238" s="89"/>
      <c r="G238" s="89"/>
      <c r="H238" s="29"/>
      <c r="I238" s="29"/>
      <c r="J238" s="29"/>
      <c r="K238" s="29"/>
      <c r="L238" s="29"/>
      <c r="M238" s="29"/>
      <c r="N238" s="29"/>
      <c r="O238" s="178"/>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62"/>
      <c r="AP238" s="62"/>
      <c r="AQ238" s="62"/>
      <c r="AR238" s="62"/>
      <c r="AS238" s="62"/>
      <c r="AT238" s="62"/>
      <c r="AU238" s="62"/>
      <c r="AV238" s="62"/>
      <c r="AW238" s="62"/>
      <c r="AX238" s="62"/>
      <c r="AY238" s="62"/>
    </row>
    <row r="239" spans="1:51" s="27" customFormat="1" ht="13.8" hidden="1">
      <c r="A239" s="89"/>
      <c r="B239" s="89"/>
      <c r="C239" s="89"/>
      <c r="D239" s="89"/>
      <c r="E239" s="89"/>
      <c r="F239" s="89"/>
      <c r="G239" s="89"/>
      <c r="H239" s="29"/>
      <c r="I239" s="29"/>
      <c r="J239" s="29"/>
      <c r="K239" s="29"/>
      <c r="L239" s="29"/>
      <c r="M239" s="29"/>
      <c r="N239" s="29"/>
      <c r="O239" s="178"/>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62"/>
      <c r="AP239" s="62"/>
      <c r="AQ239" s="62"/>
      <c r="AR239" s="62"/>
      <c r="AS239" s="62"/>
      <c r="AT239" s="62"/>
      <c r="AU239" s="62"/>
      <c r="AV239" s="62"/>
      <c r="AW239" s="62"/>
      <c r="AX239" s="62"/>
      <c r="AY239" s="62"/>
    </row>
    <row r="240" spans="1:51" s="27" customFormat="1" ht="13.8" hidden="1">
      <c r="A240" s="89"/>
      <c r="B240" s="89"/>
      <c r="C240" s="89"/>
      <c r="D240" s="89"/>
      <c r="E240" s="89"/>
      <c r="F240" s="89"/>
      <c r="G240" s="89"/>
      <c r="H240" s="29"/>
      <c r="I240" s="29"/>
      <c r="J240" s="29"/>
      <c r="K240" s="29"/>
      <c r="L240" s="29"/>
      <c r="M240" s="29"/>
      <c r="N240" s="29"/>
      <c r="O240" s="178"/>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62"/>
      <c r="AP240" s="62"/>
      <c r="AQ240" s="62"/>
      <c r="AR240" s="62"/>
      <c r="AS240" s="62"/>
      <c r="AT240" s="62"/>
      <c r="AU240" s="62"/>
      <c r="AV240" s="62"/>
      <c r="AW240" s="62"/>
      <c r="AX240" s="62"/>
      <c r="AY240" s="62"/>
    </row>
    <row r="241" spans="1:51" s="27" customFormat="1" ht="13.8" hidden="1">
      <c r="A241" s="89"/>
      <c r="B241" s="89"/>
      <c r="C241" s="89"/>
      <c r="D241" s="89"/>
      <c r="E241" s="89"/>
      <c r="F241" s="89"/>
      <c r="G241" s="89"/>
      <c r="H241" s="29"/>
      <c r="I241" s="29"/>
      <c r="J241" s="29"/>
      <c r="K241" s="29"/>
      <c r="L241" s="29"/>
      <c r="M241" s="29"/>
      <c r="N241" s="29"/>
      <c r="O241" s="178"/>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62"/>
      <c r="AP241" s="62"/>
      <c r="AQ241" s="62"/>
      <c r="AR241" s="62"/>
      <c r="AS241" s="62"/>
      <c r="AT241" s="62"/>
      <c r="AU241" s="62"/>
      <c r="AV241" s="62"/>
      <c r="AW241" s="62"/>
      <c r="AX241" s="62"/>
      <c r="AY241" s="62"/>
    </row>
    <row r="242" spans="1:51" s="27" customFormat="1" ht="13.8" hidden="1">
      <c r="A242" s="89"/>
      <c r="B242" s="89"/>
      <c r="C242" s="89"/>
      <c r="D242" s="89"/>
      <c r="E242" s="89"/>
      <c r="F242" s="89"/>
      <c r="G242" s="89"/>
      <c r="H242" s="29"/>
      <c r="I242" s="29"/>
      <c r="J242" s="29"/>
      <c r="K242" s="29"/>
      <c r="L242" s="29"/>
      <c r="M242" s="29"/>
      <c r="N242" s="29"/>
      <c r="O242" s="178"/>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62"/>
      <c r="AP242" s="62"/>
      <c r="AQ242" s="62"/>
      <c r="AR242" s="62"/>
      <c r="AS242" s="62"/>
      <c r="AT242" s="62"/>
      <c r="AU242" s="62"/>
      <c r="AV242" s="62"/>
      <c r="AW242" s="62"/>
      <c r="AX242" s="62"/>
      <c r="AY242" s="62"/>
    </row>
    <row r="243" spans="1:51" s="27" customFormat="1" ht="13.8" hidden="1">
      <c r="A243" s="89"/>
      <c r="B243" s="89"/>
      <c r="C243" s="89"/>
      <c r="D243" s="89"/>
      <c r="E243" s="89"/>
      <c r="F243" s="89"/>
      <c r="G243" s="89"/>
      <c r="H243" s="29"/>
      <c r="I243" s="29"/>
      <c r="J243" s="29"/>
      <c r="K243" s="29"/>
      <c r="L243" s="29"/>
      <c r="M243" s="29"/>
      <c r="N243" s="29"/>
      <c r="O243" s="178"/>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62"/>
      <c r="AP243" s="62"/>
      <c r="AQ243" s="62"/>
      <c r="AR243" s="62"/>
      <c r="AS243" s="62"/>
      <c r="AT243" s="62"/>
      <c r="AU243" s="62"/>
      <c r="AV243" s="62"/>
      <c r="AW243" s="62"/>
      <c r="AX243" s="62"/>
      <c r="AY243" s="62"/>
    </row>
    <row r="244" spans="1:51" s="27" customFormat="1" ht="13.8" hidden="1">
      <c r="A244" s="89"/>
      <c r="B244" s="89"/>
      <c r="C244" s="89"/>
      <c r="D244" s="89"/>
      <c r="E244" s="89"/>
      <c r="F244" s="89"/>
      <c r="G244" s="89"/>
      <c r="H244" s="29"/>
      <c r="I244" s="29"/>
      <c r="J244" s="29"/>
      <c r="K244" s="29"/>
      <c r="L244" s="29"/>
      <c r="M244" s="29"/>
      <c r="N244" s="29"/>
      <c r="O244" s="178"/>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62"/>
      <c r="AP244" s="62"/>
      <c r="AQ244" s="62"/>
      <c r="AR244" s="62"/>
      <c r="AS244" s="62"/>
      <c r="AT244" s="62"/>
      <c r="AU244" s="62"/>
      <c r="AV244" s="62"/>
      <c r="AW244" s="62"/>
      <c r="AX244" s="62"/>
      <c r="AY244" s="62"/>
    </row>
    <row r="245" spans="1:51" s="27" customFormat="1" ht="13.8" hidden="1">
      <c r="A245" s="89"/>
      <c r="B245" s="89"/>
      <c r="C245" s="89"/>
      <c r="D245" s="89"/>
      <c r="E245" s="89"/>
      <c r="F245" s="89"/>
      <c r="G245" s="89"/>
      <c r="H245" s="29"/>
      <c r="I245" s="29"/>
      <c r="J245" s="29"/>
      <c r="K245" s="29"/>
      <c r="L245" s="29"/>
      <c r="M245" s="29"/>
      <c r="N245" s="29"/>
      <c r="O245" s="178"/>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62"/>
      <c r="AP245" s="62"/>
      <c r="AQ245" s="62"/>
      <c r="AR245" s="62"/>
      <c r="AS245" s="62"/>
      <c r="AT245" s="62"/>
      <c r="AU245" s="62"/>
      <c r="AV245" s="62"/>
      <c r="AW245" s="62"/>
      <c r="AX245" s="62"/>
      <c r="AY245" s="62"/>
    </row>
    <row r="246" spans="1:51" s="27" customFormat="1" ht="13.8" hidden="1">
      <c r="A246" s="89"/>
      <c r="B246" s="89"/>
      <c r="C246" s="89"/>
      <c r="D246" s="89"/>
      <c r="E246" s="89"/>
      <c r="F246" s="89"/>
      <c r="G246" s="89"/>
      <c r="H246" s="29"/>
      <c r="I246" s="29"/>
      <c r="J246" s="29"/>
      <c r="K246" s="29"/>
      <c r="L246" s="29"/>
      <c r="M246" s="29"/>
      <c r="N246" s="29"/>
      <c r="O246" s="178"/>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62"/>
      <c r="AP246" s="62"/>
      <c r="AQ246" s="62"/>
      <c r="AR246" s="62"/>
      <c r="AS246" s="62"/>
      <c r="AT246" s="62"/>
      <c r="AU246" s="62"/>
      <c r="AV246" s="62"/>
      <c r="AW246" s="62"/>
      <c r="AX246" s="62"/>
      <c r="AY246" s="62"/>
    </row>
    <row r="247" spans="1:51" s="27" customFormat="1" ht="13.8" hidden="1">
      <c r="A247" s="89"/>
      <c r="B247" s="89"/>
      <c r="C247" s="89"/>
      <c r="D247" s="89"/>
      <c r="E247" s="89"/>
      <c r="F247" s="89"/>
      <c r="G247" s="89"/>
      <c r="H247" s="29"/>
      <c r="I247" s="29"/>
      <c r="J247" s="29"/>
      <c r="K247" s="29"/>
      <c r="L247" s="29"/>
      <c r="M247" s="29"/>
      <c r="N247" s="29"/>
      <c r="O247" s="178"/>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62"/>
      <c r="AP247" s="62"/>
      <c r="AQ247" s="62"/>
      <c r="AR247" s="62"/>
      <c r="AS247" s="62"/>
      <c r="AT247" s="62"/>
      <c r="AU247" s="62"/>
      <c r="AV247" s="62"/>
      <c r="AW247" s="62"/>
      <c r="AX247" s="62"/>
      <c r="AY247" s="62"/>
    </row>
    <row r="248" spans="1:51" s="27" customFormat="1" ht="13.8" hidden="1">
      <c r="A248" s="89"/>
      <c r="B248" s="89"/>
      <c r="C248" s="89"/>
      <c r="D248" s="89"/>
      <c r="E248" s="89"/>
      <c r="F248" s="89"/>
      <c r="G248" s="89"/>
      <c r="H248" s="29"/>
      <c r="I248" s="29"/>
      <c r="J248" s="29"/>
      <c r="K248" s="29"/>
      <c r="L248" s="29"/>
      <c r="M248" s="29"/>
      <c r="N248" s="29"/>
      <c r="O248" s="178"/>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62"/>
      <c r="AP248" s="62"/>
      <c r="AQ248" s="62"/>
      <c r="AR248" s="62"/>
      <c r="AS248" s="62"/>
      <c r="AT248" s="62"/>
      <c r="AU248" s="62"/>
      <c r="AV248" s="62"/>
      <c r="AW248" s="62"/>
      <c r="AX248" s="62"/>
      <c r="AY248" s="62"/>
    </row>
    <row r="249" spans="1:51" s="27" customFormat="1" ht="13.8" hidden="1">
      <c r="A249" s="89"/>
      <c r="B249" s="89"/>
      <c r="C249" s="89"/>
      <c r="D249" s="89"/>
      <c r="E249" s="89"/>
      <c r="F249" s="89"/>
      <c r="G249" s="89"/>
      <c r="H249" s="29"/>
      <c r="I249" s="29"/>
      <c r="J249" s="29"/>
      <c r="K249" s="29"/>
      <c r="L249" s="29"/>
      <c r="M249" s="29"/>
      <c r="N249" s="29"/>
      <c r="O249" s="178"/>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62"/>
      <c r="AP249" s="62"/>
      <c r="AQ249" s="62"/>
      <c r="AR249" s="62"/>
      <c r="AS249" s="62"/>
      <c r="AT249" s="62"/>
      <c r="AU249" s="62"/>
      <c r="AV249" s="62"/>
      <c r="AW249" s="62"/>
      <c r="AX249" s="62"/>
      <c r="AY249" s="62"/>
    </row>
    <row r="250" spans="1:51" s="27" customFormat="1" ht="13.8" hidden="1">
      <c r="A250" s="89"/>
      <c r="B250" s="89"/>
      <c r="C250" s="89"/>
      <c r="D250" s="89"/>
      <c r="E250" s="89"/>
      <c r="F250" s="89"/>
      <c r="G250" s="89"/>
      <c r="H250" s="29"/>
      <c r="I250" s="29"/>
      <c r="J250" s="29"/>
      <c r="K250" s="29"/>
      <c r="L250" s="29"/>
      <c r="M250" s="29"/>
      <c r="N250" s="29"/>
      <c r="O250" s="178"/>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62"/>
      <c r="AP250" s="62"/>
      <c r="AQ250" s="62"/>
      <c r="AR250" s="62"/>
      <c r="AS250" s="62"/>
      <c r="AT250" s="62"/>
      <c r="AU250" s="62"/>
      <c r="AV250" s="62"/>
      <c r="AW250" s="62"/>
      <c r="AX250" s="62"/>
      <c r="AY250" s="62"/>
    </row>
    <row r="251" spans="1:51" s="27" customFormat="1" ht="13.8" hidden="1">
      <c r="A251" s="89"/>
      <c r="B251" s="89"/>
      <c r="C251" s="89"/>
      <c r="D251" s="89"/>
      <c r="E251" s="89"/>
      <c r="F251" s="89"/>
      <c r="G251" s="89"/>
      <c r="H251" s="29"/>
      <c r="I251" s="29"/>
      <c r="J251" s="29"/>
      <c r="K251" s="29"/>
      <c r="L251" s="29"/>
      <c r="M251" s="29"/>
      <c r="N251" s="29"/>
      <c r="O251" s="178"/>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62"/>
      <c r="AP251" s="62"/>
      <c r="AQ251" s="62"/>
      <c r="AR251" s="62"/>
      <c r="AS251" s="62"/>
      <c r="AT251" s="62"/>
      <c r="AU251" s="62"/>
      <c r="AV251" s="62"/>
      <c r="AW251" s="62"/>
      <c r="AX251" s="62"/>
      <c r="AY251" s="62"/>
    </row>
    <row r="252" spans="1:51" s="27" customFormat="1" ht="13.8" hidden="1">
      <c r="A252" s="89"/>
      <c r="B252" s="89"/>
      <c r="C252" s="89"/>
      <c r="D252" s="89"/>
      <c r="E252" s="89"/>
      <c r="F252" s="89"/>
      <c r="G252" s="89"/>
      <c r="H252" s="29"/>
      <c r="I252" s="29"/>
      <c r="J252" s="29"/>
      <c r="K252" s="29"/>
      <c r="L252" s="29"/>
      <c r="M252" s="29"/>
      <c r="N252" s="29"/>
      <c r="O252" s="178"/>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62"/>
      <c r="AP252" s="62"/>
      <c r="AQ252" s="62"/>
      <c r="AR252" s="62"/>
      <c r="AS252" s="62"/>
      <c r="AT252" s="62"/>
      <c r="AU252" s="62"/>
      <c r="AV252" s="62"/>
      <c r="AW252" s="62"/>
      <c r="AX252" s="62"/>
      <c r="AY252" s="62"/>
    </row>
    <row r="253" spans="1:51" s="27" customFormat="1" ht="13.8" hidden="1">
      <c r="A253" s="89"/>
      <c r="B253" s="89"/>
      <c r="C253" s="89"/>
      <c r="D253" s="89"/>
      <c r="E253" s="89"/>
      <c r="F253" s="89"/>
      <c r="G253" s="89"/>
      <c r="H253" s="29"/>
      <c r="I253" s="29"/>
      <c r="J253" s="29"/>
      <c r="K253" s="29"/>
      <c r="L253" s="29"/>
      <c r="M253" s="29"/>
      <c r="N253" s="29"/>
      <c r="O253" s="178"/>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62"/>
      <c r="AP253" s="62"/>
      <c r="AQ253" s="62"/>
      <c r="AR253" s="62"/>
      <c r="AS253" s="62"/>
      <c r="AT253" s="62"/>
      <c r="AU253" s="62"/>
      <c r="AV253" s="62"/>
      <c r="AW253" s="62"/>
      <c r="AX253" s="62"/>
      <c r="AY253" s="62"/>
    </row>
    <row r="254" spans="1:51" s="27" customFormat="1" ht="13.8">
      <c r="A254" s="89"/>
      <c r="B254" s="89"/>
      <c r="C254" s="89"/>
      <c r="D254" s="89"/>
      <c r="E254" s="89"/>
      <c r="F254" s="89"/>
      <c r="G254" s="89"/>
      <c r="H254" s="29"/>
      <c r="I254" s="29"/>
      <c r="J254" s="29"/>
      <c r="K254" s="29"/>
      <c r="L254" s="29"/>
      <c r="M254" s="29"/>
      <c r="N254" s="29"/>
      <c r="O254" s="178"/>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62"/>
      <c r="AP254" s="62"/>
      <c r="AQ254" s="62"/>
      <c r="AR254" s="62"/>
      <c r="AS254" s="62"/>
      <c r="AT254" s="62"/>
      <c r="AU254" s="62"/>
      <c r="AV254" s="62"/>
      <c r="AW254" s="62"/>
      <c r="AX254" s="62"/>
      <c r="AY254" s="62"/>
    </row>
    <row r="255" spans="1:51" s="27" customFormat="1" ht="13.8">
      <c r="A255" s="89"/>
      <c r="B255" s="89"/>
      <c r="C255" s="89"/>
      <c r="D255" s="89"/>
      <c r="E255" s="89"/>
      <c r="F255" s="89"/>
      <c r="G255" s="89"/>
      <c r="H255" s="29"/>
      <c r="I255" s="29"/>
      <c r="J255" s="29"/>
      <c r="K255" s="29"/>
      <c r="L255" s="29"/>
      <c r="M255" s="29"/>
      <c r="N255" s="29"/>
      <c r="O255" s="178"/>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62"/>
      <c r="AP255" s="62"/>
      <c r="AQ255" s="62"/>
      <c r="AR255" s="62"/>
      <c r="AS255" s="62"/>
      <c r="AT255" s="62"/>
      <c r="AU255" s="62"/>
      <c r="AV255" s="62"/>
      <c r="AW255" s="62"/>
      <c r="AX255" s="62"/>
      <c r="AY255" s="62"/>
    </row>
    <row r="256" spans="1:51" s="27" customFormat="1" ht="13.8">
      <c r="A256" s="404" t="s">
        <v>81</v>
      </c>
      <c r="B256" s="405"/>
      <c r="C256" s="405"/>
      <c r="D256" s="405"/>
      <c r="E256" s="405"/>
      <c r="F256" s="406"/>
      <c r="G256" s="89"/>
      <c r="H256" s="29"/>
      <c r="I256" s="29"/>
      <c r="J256" s="29"/>
      <c r="K256" s="29"/>
      <c r="L256" s="29"/>
      <c r="M256" s="29"/>
      <c r="N256" s="29"/>
      <c r="O256" s="178"/>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62"/>
      <c r="AP256" s="62"/>
      <c r="AQ256" s="62"/>
      <c r="AR256" s="62"/>
      <c r="AS256" s="62"/>
      <c r="AT256" s="62"/>
      <c r="AU256" s="62"/>
      <c r="AV256" s="62"/>
      <c r="AW256" s="62"/>
      <c r="AX256" s="62"/>
      <c r="AY256" s="62"/>
    </row>
    <row r="257" spans="1:51" s="27" customFormat="1" ht="13.8">
      <c r="A257" s="90" t="s">
        <v>30</v>
      </c>
      <c r="B257" s="407" t="s">
        <v>23</v>
      </c>
      <c r="C257" s="408"/>
      <c r="D257" s="407" t="s">
        <v>33</v>
      </c>
      <c r="E257" s="408"/>
      <c r="F257" s="91" t="s">
        <v>22</v>
      </c>
      <c r="G257" s="89"/>
      <c r="H257" s="29"/>
      <c r="I257" s="29"/>
      <c r="J257" s="29"/>
      <c r="K257" s="29"/>
      <c r="L257" s="29"/>
      <c r="M257" s="29"/>
      <c r="N257" s="29"/>
      <c r="O257" s="178"/>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62"/>
      <c r="AP257" s="62"/>
      <c r="AQ257" s="62"/>
      <c r="AR257" s="62"/>
      <c r="AS257" s="62"/>
      <c r="AT257" s="62"/>
      <c r="AU257" s="62"/>
      <c r="AV257" s="62"/>
      <c r="AW257" s="62"/>
      <c r="AX257" s="62"/>
      <c r="AY257" s="62"/>
    </row>
    <row r="258" spans="1:51" s="27" customFormat="1" ht="13.8">
      <c r="A258" s="92">
        <v>1</v>
      </c>
      <c r="B258" s="93">
        <v>2</v>
      </c>
      <c r="C258" s="93">
        <v>3</v>
      </c>
      <c r="D258" s="93">
        <v>4</v>
      </c>
      <c r="E258" s="92">
        <v>5</v>
      </c>
      <c r="F258" s="93">
        <v>6</v>
      </c>
      <c r="G258" s="89"/>
      <c r="H258" s="29"/>
      <c r="I258" s="29"/>
      <c r="J258" s="29"/>
      <c r="K258" s="29"/>
      <c r="L258" s="29"/>
      <c r="M258" s="29"/>
      <c r="N258" s="29"/>
      <c r="O258" s="178"/>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62"/>
      <c r="AP258" s="62"/>
      <c r="AQ258" s="62"/>
      <c r="AR258" s="62"/>
      <c r="AS258" s="62"/>
      <c r="AT258" s="62"/>
      <c r="AU258" s="62"/>
      <c r="AV258" s="62"/>
      <c r="AW258" s="62"/>
      <c r="AX258" s="62"/>
      <c r="AY258" s="62"/>
    </row>
    <row r="259" spans="1:51" s="27" customFormat="1" ht="13.8">
      <c r="A259" s="94"/>
      <c r="B259" s="93" t="s">
        <v>51</v>
      </c>
      <c r="C259" s="93" t="s">
        <v>31</v>
      </c>
      <c r="D259" s="93" t="s">
        <v>51</v>
      </c>
      <c r="E259" s="93" t="s">
        <v>31</v>
      </c>
      <c r="F259" s="92" t="s">
        <v>31</v>
      </c>
      <c r="G259" s="89"/>
      <c r="H259" s="29"/>
      <c r="I259" s="29"/>
      <c r="J259" s="29"/>
      <c r="K259" s="29"/>
      <c r="L259" s="29"/>
      <c r="M259" s="29"/>
      <c r="N259" s="29"/>
      <c r="O259" s="178"/>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62"/>
      <c r="AP259" s="62"/>
      <c r="AQ259" s="62"/>
      <c r="AR259" s="62"/>
      <c r="AS259" s="62"/>
      <c r="AT259" s="62"/>
      <c r="AU259" s="62"/>
      <c r="AV259" s="62"/>
      <c r="AW259" s="62"/>
      <c r="AX259" s="62"/>
      <c r="AY259" s="62"/>
    </row>
    <row r="260" spans="1:51" s="27" customFormat="1" ht="13.8">
      <c r="A260" s="95"/>
      <c r="B260" s="90">
        <v>2025</v>
      </c>
      <c r="C260" s="90">
        <v>2026</v>
      </c>
      <c r="D260" s="90" t="s">
        <v>187</v>
      </c>
      <c r="E260" s="90" t="s">
        <v>220</v>
      </c>
      <c r="F260" s="96"/>
      <c r="G260" s="89"/>
      <c r="H260" s="29"/>
      <c r="I260" s="29"/>
      <c r="J260" s="29"/>
      <c r="K260" s="29"/>
      <c r="L260" s="29"/>
      <c r="M260" s="29"/>
      <c r="N260" s="29"/>
      <c r="O260" s="178"/>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62"/>
      <c r="AP260" s="62"/>
      <c r="AQ260" s="62"/>
      <c r="AR260" s="62"/>
      <c r="AS260" s="62"/>
      <c r="AT260" s="62"/>
      <c r="AU260" s="62"/>
      <c r="AV260" s="62"/>
      <c r="AW260" s="62"/>
      <c r="AX260" s="62"/>
      <c r="AY260" s="62"/>
    </row>
    <row r="261" spans="1:51" s="27" customFormat="1" ht="13.8">
      <c r="A261" s="97" t="s">
        <v>156</v>
      </c>
      <c r="B261" s="99">
        <f ca="1">IFERROR(B101+B181,"")</f>
        <v>-43242.869930000161</v>
      </c>
      <c r="C261" s="99">
        <f ca="1">IFERROR(C101+C181,"")</f>
        <v>-104113.25237999996</v>
      </c>
      <c r="D261" s="99">
        <f>IFERROR(D101+D181,"")</f>
        <v>-168479.00533333313</v>
      </c>
      <c r="E261" s="99">
        <f>IFERROR(E101+E181,"")</f>
        <v>-156778.80327083339</v>
      </c>
      <c r="F261" s="99">
        <f ca="1">IFERROR(C261-E261,"")</f>
        <v>52665.55089083343</v>
      </c>
      <c r="G261" s="89"/>
      <c r="H261" s="29"/>
      <c r="I261" s="29"/>
      <c r="J261" s="29"/>
      <c r="K261" s="29"/>
      <c r="L261" s="29"/>
      <c r="M261" s="29"/>
      <c r="N261" s="29"/>
      <c r="O261" s="178"/>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62"/>
      <c r="AP261" s="62"/>
      <c r="AQ261" s="62"/>
      <c r="AR261" s="62"/>
      <c r="AS261" s="62"/>
      <c r="AT261" s="62"/>
      <c r="AU261" s="62"/>
      <c r="AV261" s="62"/>
      <c r="AW261" s="62"/>
      <c r="AX261" s="62"/>
      <c r="AY261" s="62"/>
    </row>
    <row r="262" spans="1:51" s="27" customFormat="1" ht="13.8">
      <c r="A262" s="97" t="s">
        <v>157</v>
      </c>
      <c r="B262" s="99">
        <f t="shared" ref="B262:E272" ca="1" si="48">IFERROR(B102+B182,"")</f>
        <v>-191834.16246999998</v>
      </c>
      <c r="C262" s="99">
        <f t="shared" ca="1" si="48"/>
        <v>304681.63382999995</v>
      </c>
      <c r="D262" s="99">
        <f t="shared" si="48"/>
        <v>-336958.01066666626</v>
      </c>
      <c r="E262" s="99">
        <f t="shared" si="48"/>
        <v>-313557.60654166678</v>
      </c>
      <c r="F262" s="99">
        <f t="shared" ref="F262:F272" ca="1" si="49">IFERROR(C262-E262,"")</f>
        <v>618239.24037166673</v>
      </c>
      <c r="G262" s="89"/>
      <c r="H262" s="29"/>
      <c r="I262" s="29"/>
      <c r="J262" s="29"/>
      <c r="K262" s="29"/>
      <c r="L262" s="29"/>
      <c r="M262" s="29"/>
      <c r="N262" s="29"/>
      <c r="O262" s="178"/>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62"/>
      <c r="AP262" s="62"/>
      <c r="AQ262" s="62"/>
      <c r="AR262" s="62"/>
      <c r="AS262" s="62"/>
      <c r="AT262" s="62"/>
      <c r="AU262" s="62"/>
      <c r="AV262" s="62"/>
      <c r="AW262" s="62"/>
      <c r="AX262" s="62"/>
      <c r="AY262" s="62"/>
    </row>
    <row r="263" spans="1:51" s="27" customFormat="1" ht="13.8">
      <c r="A263" s="97" t="s">
        <v>158</v>
      </c>
      <c r="B263" s="99">
        <f t="shared" ca="1" si="48"/>
        <v>-668725.92059999937</v>
      </c>
      <c r="C263" s="99">
        <f t="shared" ca="1" si="48"/>
        <v>-125763.15942000016</v>
      </c>
      <c r="D263" s="99">
        <f t="shared" si="48"/>
        <v>-505437.01599999936</v>
      </c>
      <c r="E263" s="99">
        <f t="shared" si="48"/>
        <v>-470336.40981250023</v>
      </c>
      <c r="F263" s="99">
        <f t="shared" ca="1" si="49"/>
        <v>344573.25039250008</v>
      </c>
      <c r="G263" s="89"/>
      <c r="H263" s="29"/>
      <c r="I263" s="29"/>
      <c r="J263" s="29"/>
      <c r="K263" s="29"/>
      <c r="L263" s="29"/>
      <c r="M263" s="29"/>
      <c r="N263" s="29"/>
      <c r="O263" s="178"/>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62"/>
      <c r="AP263" s="62"/>
      <c r="AQ263" s="62"/>
      <c r="AR263" s="62"/>
      <c r="AS263" s="62"/>
      <c r="AT263" s="62"/>
      <c r="AU263" s="62"/>
      <c r="AV263" s="62"/>
      <c r="AW263" s="62"/>
      <c r="AX263" s="62"/>
      <c r="AY263" s="62"/>
    </row>
    <row r="264" spans="1:51" s="27" customFormat="1" ht="13.8">
      <c r="A264" s="97" t="s">
        <v>159</v>
      </c>
      <c r="B264" s="99">
        <f t="shared" ca="1" si="48"/>
        <v>-919998.77300999966</v>
      </c>
      <c r="C264" s="99">
        <f t="shared" ca="1" si="48"/>
        <v>-283911.1795200007</v>
      </c>
      <c r="D264" s="99">
        <f t="shared" si="48"/>
        <v>-673916.02133333252</v>
      </c>
      <c r="E264" s="99">
        <f t="shared" si="48"/>
        <v>-627115.21308333357</v>
      </c>
      <c r="F264" s="99">
        <f t="shared" ca="1" si="49"/>
        <v>343204.03356333287</v>
      </c>
      <c r="G264" s="89"/>
      <c r="H264" s="29"/>
      <c r="I264" s="29"/>
      <c r="J264" s="29"/>
      <c r="K264" s="29"/>
      <c r="L264" s="29"/>
      <c r="M264" s="29"/>
      <c r="N264" s="29"/>
      <c r="O264" s="178"/>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62"/>
      <c r="AP264" s="62"/>
      <c r="AQ264" s="62"/>
      <c r="AR264" s="62"/>
      <c r="AS264" s="62"/>
      <c r="AT264" s="62"/>
      <c r="AU264" s="62"/>
      <c r="AV264" s="62"/>
      <c r="AW264" s="62"/>
      <c r="AX264" s="62"/>
      <c r="AY264" s="62"/>
    </row>
    <row r="265" spans="1:51" s="27" customFormat="1" ht="13.8">
      <c r="A265" s="97" t="s">
        <v>160</v>
      </c>
      <c r="B265" s="99">
        <f ca="1">IFERROR(B105+B185,"")</f>
        <v>-586660.36865999969</v>
      </c>
      <c r="C265" s="99">
        <f t="shared" ca="1" si="48"/>
        <v>36645.832590000704</v>
      </c>
      <c r="D265" s="99">
        <f t="shared" si="48"/>
        <v>-842395.02666666557</v>
      </c>
      <c r="E265" s="99">
        <f t="shared" si="48"/>
        <v>-783894.01635416714</v>
      </c>
      <c r="F265" s="99">
        <f t="shared" ca="1" si="49"/>
        <v>820539.84894416784</v>
      </c>
      <c r="G265" s="89"/>
      <c r="H265" s="29"/>
      <c r="I265" s="29"/>
      <c r="J265" s="29"/>
      <c r="K265" s="29"/>
      <c r="L265" s="29"/>
      <c r="M265" s="29"/>
      <c r="N265" s="29"/>
      <c r="O265" s="178"/>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62"/>
      <c r="AP265" s="62"/>
      <c r="AQ265" s="62"/>
      <c r="AR265" s="62"/>
      <c r="AS265" s="62"/>
      <c r="AT265" s="62"/>
      <c r="AU265" s="62"/>
      <c r="AV265" s="62"/>
      <c r="AW265" s="62"/>
      <c r="AX265" s="62"/>
      <c r="AY265" s="62"/>
    </row>
    <row r="266" spans="1:51" s="27" customFormat="1" ht="13.8">
      <c r="A266" s="97" t="s">
        <v>161</v>
      </c>
      <c r="B266" s="99">
        <f t="shared" ca="1" si="48"/>
        <v>-469280.70567000052</v>
      </c>
      <c r="C266" s="99">
        <f t="shared" ca="1" si="48"/>
        <v>102826.04846000019</v>
      </c>
      <c r="D266" s="99">
        <f t="shared" si="48"/>
        <v>-1010874.0319999987</v>
      </c>
      <c r="E266" s="99">
        <f t="shared" si="48"/>
        <v>-940672.81962500047</v>
      </c>
      <c r="F266" s="99">
        <f t="shared" ca="1" si="49"/>
        <v>1043498.8680850007</v>
      </c>
      <c r="G266" s="89"/>
      <c r="H266" s="29"/>
      <c r="I266" s="29"/>
      <c r="J266" s="29"/>
      <c r="K266" s="29"/>
      <c r="L266" s="29"/>
      <c r="M266" s="29"/>
      <c r="N266" s="29"/>
      <c r="O266" s="178"/>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62"/>
      <c r="AP266" s="62"/>
      <c r="AQ266" s="62"/>
      <c r="AR266" s="62"/>
      <c r="AS266" s="62"/>
      <c r="AT266" s="62"/>
      <c r="AU266" s="62"/>
      <c r="AV266" s="62"/>
      <c r="AW266" s="62"/>
      <c r="AX266" s="62"/>
      <c r="AY266" s="62"/>
    </row>
    <row r="267" spans="1:51" s="27" customFormat="1" ht="13.8">
      <c r="A267" s="97" t="s">
        <v>162</v>
      </c>
      <c r="B267" s="99">
        <f t="shared" ca="1" si="48"/>
        <v>-587923.31265999982</v>
      </c>
      <c r="C267" s="99">
        <f t="shared" ca="1" si="48"/>
        <v>-52568.014669999946</v>
      </c>
      <c r="D267" s="99">
        <f t="shared" si="48"/>
        <v>-1179353.0373333315</v>
      </c>
      <c r="E267" s="99">
        <f t="shared" si="48"/>
        <v>-1097451.622895834</v>
      </c>
      <c r="F267" s="99">
        <f t="shared" ca="1" si="49"/>
        <v>1044883.6082258341</v>
      </c>
      <c r="G267" s="89"/>
      <c r="H267" s="29"/>
      <c r="I267" s="29"/>
      <c r="J267" s="29"/>
      <c r="K267" s="29"/>
      <c r="L267" s="29"/>
      <c r="M267" s="29"/>
      <c r="N267" s="29"/>
      <c r="O267" s="178"/>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62"/>
      <c r="AP267" s="62"/>
      <c r="AQ267" s="62"/>
      <c r="AR267" s="62"/>
      <c r="AS267" s="62"/>
      <c r="AT267" s="62"/>
      <c r="AU267" s="62"/>
      <c r="AV267" s="62"/>
      <c r="AW267" s="62"/>
      <c r="AX267" s="62"/>
      <c r="AY267" s="62"/>
    </row>
    <row r="268" spans="1:51" s="27" customFormat="1" ht="13.8">
      <c r="A268" s="97" t="s">
        <v>163</v>
      </c>
      <c r="B268" s="99">
        <f t="shared" ca="1" si="48"/>
        <v>-433330.75214000139</v>
      </c>
      <c r="C268" s="99" t="str">
        <f t="shared" ca="1" si="48"/>
        <v/>
      </c>
      <c r="D268" s="99">
        <f t="shared" si="48"/>
        <v>-1347832.042666665</v>
      </c>
      <c r="E268" s="99">
        <f t="shared" si="48"/>
        <v>-1254230.4261666671</v>
      </c>
      <c r="F268" s="99" t="str">
        <f t="shared" ca="1" si="49"/>
        <v/>
      </c>
      <c r="G268" s="89"/>
      <c r="H268" s="29"/>
      <c r="I268" s="29"/>
      <c r="J268" s="29"/>
      <c r="K268" s="29"/>
      <c r="L268" s="29"/>
      <c r="M268" s="29"/>
      <c r="N268" s="29"/>
      <c r="O268" s="178"/>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62"/>
      <c r="AP268" s="62"/>
      <c r="AQ268" s="62"/>
      <c r="AR268" s="62"/>
      <c r="AS268" s="62"/>
      <c r="AT268" s="62"/>
      <c r="AU268" s="62"/>
      <c r="AV268" s="62"/>
      <c r="AW268" s="62"/>
      <c r="AX268" s="62"/>
      <c r="AY268" s="62"/>
    </row>
    <row r="269" spans="1:51" s="27" customFormat="1" ht="13.8">
      <c r="A269" s="97" t="s">
        <v>164</v>
      </c>
      <c r="B269" s="99">
        <f t="shared" ca="1" si="48"/>
        <v>-715480.00755000068</v>
      </c>
      <c r="C269" s="99" t="str">
        <f t="shared" ca="1" si="48"/>
        <v/>
      </c>
      <c r="D269" s="99">
        <f t="shared" si="48"/>
        <v>-1516311.0479999983</v>
      </c>
      <c r="E269" s="99">
        <f t="shared" si="48"/>
        <v>-1411009.2294375007</v>
      </c>
      <c r="F269" s="99" t="str">
        <f t="shared" ca="1" si="49"/>
        <v/>
      </c>
      <c r="G269" s="89"/>
      <c r="H269" s="29"/>
      <c r="I269" s="29"/>
      <c r="J269" s="29"/>
      <c r="K269" s="29"/>
      <c r="L269" s="29"/>
      <c r="M269" s="29"/>
      <c r="N269" s="29"/>
      <c r="O269" s="178"/>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62"/>
      <c r="AP269" s="62"/>
      <c r="AQ269" s="62"/>
      <c r="AR269" s="62"/>
      <c r="AS269" s="62"/>
      <c r="AT269" s="62"/>
      <c r="AU269" s="62"/>
      <c r="AV269" s="62"/>
      <c r="AW269" s="62"/>
      <c r="AX269" s="62"/>
      <c r="AY269" s="62"/>
    </row>
    <row r="270" spans="1:51" s="27" customFormat="1" ht="13.8">
      <c r="A270" s="97" t="s">
        <v>165</v>
      </c>
      <c r="B270" s="99">
        <f t="shared" ca="1" si="48"/>
        <v>-1019197.1724400013</v>
      </c>
      <c r="C270" s="99" t="str">
        <f t="shared" ca="1" si="48"/>
        <v/>
      </c>
      <c r="D270" s="99">
        <f t="shared" si="48"/>
        <v>-1684790.0533333311</v>
      </c>
      <c r="E270" s="99">
        <f t="shared" si="48"/>
        <v>-1567788.0327083343</v>
      </c>
      <c r="F270" s="99" t="str">
        <f t="shared" ca="1" si="49"/>
        <v/>
      </c>
      <c r="G270" s="89"/>
      <c r="H270" s="29"/>
      <c r="I270" s="29"/>
      <c r="J270" s="29"/>
      <c r="K270" s="29"/>
      <c r="L270" s="29"/>
      <c r="M270" s="29"/>
      <c r="N270" s="29"/>
      <c r="O270" s="178"/>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62"/>
      <c r="AP270" s="62"/>
      <c r="AQ270" s="62"/>
      <c r="AR270" s="62"/>
      <c r="AS270" s="62"/>
      <c r="AT270" s="62"/>
      <c r="AU270" s="62"/>
      <c r="AV270" s="62"/>
      <c r="AW270" s="62"/>
      <c r="AX270" s="62"/>
      <c r="AY270" s="62"/>
    </row>
    <row r="271" spans="1:51" s="27" customFormat="1" ht="13.8">
      <c r="A271" s="97" t="s">
        <v>166</v>
      </c>
      <c r="B271" s="99">
        <f t="shared" ca="1" si="48"/>
        <v>-1214778.0737700015</v>
      </c>
      <c r="C271" s="99" t="str">
        <f t="shared" ca="1" si="48"/>
        <v/>
      </c>
      <c r="D271" s="99">
        <f t="shared" si="48"/>
        <v>-1853269.0586666644</v>
      </c>
      <c r="E271" s="99">
        <f t="shared" si="48"/>
        <v>-1724566.8359791676</v>
      </c>
      <c r="F271" s="99" t="str">
        <f t="shared" ca="1" si="49"/>
        <v/>
      </c>
      <c r="G271" s="89"/>
      <c r="H271" s="29"/>
      <c r="I271" s="29"/>
      <c r="J271" s="29"/>
      <c r="K271" s="29"/>
      <c r="L271" s="29"/>
      <c r="M271" s="29"/>
      <c r="N271" s="29"/>
      <c r="O271" s="178"/>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62"/>
      <c r="AP271" s="62"/>
      <c r="AQ271" s="62"/>
      <c r="AR271" s="62"/>
      <c r="AS271" s="62"/>
      <c r="AT271" s="62"/>
      <c r="AU271" s="62"/>
      <c r="AV271" s="62"/>
      <c r="AW271" s="62"/>
      <c r="AX271" s="62"/>
      <c r="AY271" s="62"/>
    </row>
    <row r="272" spans="1:51" s="27" customFormat="1" ht="13.8">
      <c r="A272" s="97" t="s">
        <v>167</v>
      </c>
      <c r="B272" s="99">
        <f t="shared" ca="1" si="48"/>
        <v>-1746940.1037900001</v>
      </c>
      <c r="C272" s="99" t="str">
        <f t="shared" ca="1" si="48"/>
        <v/>
      </c>
      <c r="D272" s="99">
        <f t="shared" si="48"/>
        <v>-2021748.0639999975</v>
      </c>
      <c r="E272" s="99">
        <f t="shared" si="48"/>
        <v>-1881345.6392500009</v>
      </c>
      <c r="F272" s="99" t="str">
        <f t="shared" ca="1" si="49"/>
        <v/>
      </c>
      <c r="G272" s="89"/>
      <c r="H272" s="29"/>
      <c r="I272" s="29"/>
      <c r="J272" s="29"/>
      <c r="K272" s="29"/>
      <c r="L272" s="29"/>
      <c r="M272" s="29"/>
      <c r="N272" s="29"/>
      <c r="O272" s="178"/>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62"/>
      <c r="AP272" s="62"/>
      <c r="AQ272" s="62"/>
      <c r="AR272" s="62"/>
      <c r="AS272" s="62"/>
      <c r="AT272" s="62"/>
      <c r="AU272" s="62"/>
      <c r="AV272" s="62"/>
      <c r="AW272" s="62"/>
      <c r="AX272" s="62"/>
      <c r="AY272" s="62"/>
    </row>
    <row r="273" spans="1:51" s="27" customFormat="1" ht="13.8">
      <c r="A273" s="89"/>
      <c r="B273" s="89"/>
      <c r="C273" s="89"/>
      <c r="D273" s="89"/>
      <c r="E273" s="89"/>
      <c r="F273" s="89"/>
      <c r="G273" s="89"/>
      <c r="H273" s="29"/>
      <c r="I273" s="29"/>
      <c r="J273" s="29"/>
      <c r="K273" s="29"/>
      <c r="L273" s="29"/>
      <c r="M273" s="29"/>
      <c r="N273" s="29"/>
      <c r="O273" s="178"/>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62"/>
      <c r="AP273" s="62"/>
      <c r="AQ273" s="62"/>
      <c r="AR273" s="62"/>
      <c r="AS273" s="62"/>
      <c r="AT273" s="62"/>
      <c r="AU273" s="62"/>
      <c r="AV273" s="62"/>
      <c r="AW273" s="62"/>
      <c r="AX273" s="62"/>
      <c r="AY273" s="62"/>
    </row>
    <row r="274" spans="1:51" s="27" customFormat="1" ht="13.8">
      <c r="A274" s="89"/>
      <c r="B274" s="89"/>
      <c r="C274" s="89"/>
      <c r="D274" s="89"/>
      <c r="E274" s="89"/>
      <c r="F274" s="89"/>
      <c r="G274" s="89"/>
      <c r="H274" s="29"/>
      <c r="I274" s="29"/>
      <c r="J274" s="29"/>
      <c r="K274" s="29"/>
      <c r="L274" s="29"/>
      <c r="M274" s="29"/>
      <c r="N274" s="29"/>
      <c r="O274" s="178"/>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62"/>
      <c r="AP274" s="62"/>
      <c r="AQ274" s="62"/>
      <c r="AR274" s="62"/>
      <c r="AS274" s="62"/>
      <c r="AT274" s="62"/>
      <c r="AU274" s="62"/>
      <c r="AV274" s="62"/>
      <c r="AW274" s="62"/>
      <c r="AX274" s="62"/>
      <c r="AY274" s="62"/>
    </row>
    <row r="275" spans="1:51" s="27" customFormat="1" ht="13.8">
      <c r="A275" s="89"/>
      <c r="B275" s="89"/>
      <c r="C275" s="89"/>
      <c r="D275" s="89"/>
      <c r="E275" s="89"/>
      <c r="F275" s="89"/>
      <c r="G275" s="89"/>
      <c r="H275" s="29"/>
      <c r="I275" s="29"/>
      <c r="J275" s="29"/>
      <c r="K275" s="29"/>
      <c r="L275" s="29"/>
      <c r="M275" s="29"/>
      <c r="N275" s="29"/>
      <c r="O275" s="178"/>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62"/>
      <c r="AP275" s="62"/>
      <c r="AQ275" s="62"/>
      <c r="AR275" s="62"/>
      <c r="AS275" s="62"/>
      <c r="AT275" s="62"/>
      <c r="AU275" s="62"/>
      <c r="AV275" s="62"/>
      <c r="AW275" s="62"/>
      <c r="AX275" s="62"/>
      <c r="AY275" s="62"/>
    </row>
    <row r="276" spans="1:51" s="27" customFormat="1" ht="13.8">
      <c r="A276" s="89"/>
      <c r="B276" s="89"/>
      <c r="C276" s="89"/>
      <c r="D276" s="89"/>
      <c r="E276" s="89"/>
      <c r="F276" s="89"/>
      <c r="G276" s="89"/>
      <c r="H276" s="29"/>
      <c r="I276" s="29"/>
      <c r="J276" s="29"/>
      <c r="K276" s="29"/>
      <c r="L276" s="29"/>
      <c r="M276" s="29"/>
      <c r="N276" s="29"/>
      <c r="O276" s="178"/>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62"/>
      <c r="AP276" s="62"/>
      <c r="AQ276" s="62"/>
      <c r="AR276" s="62"/>
      <c r="AS276" s="62"/>
      <c r="AT276" s="62"/>
      <c r="AU276" s="62"/>
      <c r="AV276" s="62"/>
      <c r="AW276" s="62"/>
      <c r="AX276" s="62"/>
      <c r="AY276" s="62"/>
    </row>
    <row r="277" spans="1:51" s="27" customFormat="1" ht="13.8">
      <c r="A277" s="89"/>
      <c r="B277" s="89"/>
      <c r="C277" s="89"/>
      <c r="D277" s="89"/>
      <c r="E277" s="89"/>
      <c r="F277" s="89"/>
      <c r="G277" s="89"/>
      <c r="H277" s="29"/>
      <c r="I277" s="29"/>
      <c r="J277" s="29"/>
      <c r="K277" s="29"/>
      <c r="L277" s="29"/>
      <c r="M277" s="29"/>
      <c r="N277" s="29"/>
      <c r="O277" s="178"/>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62"/>
      <c r="AP277" s="62"/>
      <c r="AQ277" s="62"/>
      <c r="AR277" s="62"/>
      <c r="AS277" s="62"/>
      <c r="AT277" s="62"/>
      <c r="AU277" s="62"/>
      <c r="AV277" s="62"/>
      <c r="AW277" s="62"/>
      <c r="AX277" s="62"/>
      <c r="AY277" s="62"/>
    </row>
    <row r="278" spans="1:51" s="27" customFormat="1" ht="13.8">
      <c r="A278" s="89"/>
      <c r="B278" s="89"/>
      <c r="C278" s="89"/>
      <c r="D278" s="89"/>
      <c r="E278" s="89"/>
      <c r="F278" s="89"/>
      <c r="G278" s="89"/>
      <c r="H278" s="29"/>
      <c r="I278" s="29"/>
      <c r="J278" s="29"/>
      <c r="K278" s="29"/>
      <c r="L278" s="29"/>
      <c r="M278" s="29"/>
      <c r="N278" s="29"/>
      <c r="O278" s="178"/>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62"/>
      <c r="AP278" s="62"/>
      <c r="AQ278" s="62"/>
      <c r="AR278" s="62"/>
      <c r="AS278" s="62"/>
      <c r="AT278" s="62"/>
      <c r="AU278" s="62"/>
      <c r="AV278" s="62"/>
      <c r="AW278" s="62"/>
      <c r="AX278" s="62"/>
      <c r="AY278" s="62"/>
    </row>
    <row r="279" spans="1:51" s="27" customFormat="1" ht="13.8">
      <c r="A279" s="89"/>
      <c r="B279" s="89"/>
      <c r="C279" s="89"/>
      <c r="D279" s="89"/>
      <c r="E279" s="89"/>
      <c r="F279" s="89"/>
      <c r="G279" s="89"/>
      <c r="H279" s="29"/>
      <c r="I279" s="29"/>
      <c r="J279" s="29"/>
      <c r="K279" s="29"/>
      <c r="L279" s="29"/>
      <c r="M279" s="29"/>
      <c r="N279" s="29"/>
      <c r="O279" s="178"/>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62"/>
      <c r="AP279" s="62"/>
      <c r="AQ279" s="62"/>
      <c r="AR279" s="62"/>
      <c r="AS279" s="62"/>
      <c r="AT279" s="62"/>
      <c r="AU279" s="62"/>
      <c r="AV279" s="62"/>
      <c r="AW279" s="62"/>
      <c r="AX279" s="62"/>
      <c r="AY279" s="62"/>
    </row>
    <row r="280" spans="1:51" s="27" customFormat="1" ht="13.8">
      <c r="A280" s="89"/>
      <c r="B280" s="89"/>
      <c r="C280" s="89"/>
      <c r="D280" s="89"/>
      <c r="E280" s="89"/>
      <c r="F280" s="89"/>
      <c r="G280" s="89"/>
      <c r="H280" s="29"/>
      <c r="I280" s="29"/>
      <c r="J280" s="29"/>
      <c r="K280" s="29"/>
      <c r="L280" s="29"/>
      <c r="M280" s="29"/>
      <c r="N280" s="29"/>
      <c r="O280" s="178"/>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62"/>
      <c r="AP280" s="62"/>
      <c r="AQ280" s="62"/>
      <c r="AR280" s="62"/>
      <c r="AS280" s="62"/>
      <c r="AT280" s="62"/>
      <c r="AU280" s="62"/>
      <c r="AV280" s="62"/>
      <c r="AW280" s="62"/>
      <c r="AX280" s="62"/>
      <c r="AY280" s="62"/>
    </row>
    <row r="281" spans="1:51" s="27" customFormat="1" ht="13.8">
      <c r="A281" s="89"/>
      <c r="B281" s="89"/>
      <c r="C281" s="89"/>
      <c r="D281" s="89"/>
      <c r="E281" s="89"/>
      <c r="F281" s="89"/>
      <c r="G281" s="89"/>
      <c r="H281" s="29"/>
      <c r="I281" s="29"/>
      <c r="J281" s="29"/>
      <c r="K281" s="29"/>
      <c r="L281" s="29"/>
      <c r="M281" s="29"/>
      <c r="N281" s="29"/>
      <c r="O281" s="178"/>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62"/>
      <c r="AP281" s="62"/>
      <c r="AQ281" s="62"/>
      <c r="AR281" s="62"/>
      <c r="AS281" s="62"/>
      <c r="AT281" s="62"/>
      <c r="AU281" s="62"/>
      <c r="AV281" s="62"/>
      <c r="AW281" s="62"/>
      <c r="AX281" s="62"/>
      <c r="AY281" s="62"/>
    </row>
    <row r="282" spans="1:51" s="27" customFormat="1" ht="13.8">
      <c r="A282" s="89"/>
      <c r="B282" s="89"/>
      <c r="C282" s="89"/>
      <c r="D282" s="89"/>
      <c r="E282" s="89"/>
      <c r="F282" s="89"/>
      <c r="G282" s="89"/>
      <c r="H282" s="29"/>
      <c r="I282" s="29"/>
      <c r="J282" s="29"/>
      <c r="K282" s="29"/>
      <c r="L282" s="29"/>
      <c r="M282" s="29"/>
      <c r="N282" s="29"/>
      <c r="O282" s="178"/>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62"/>
      <c r="AP282" s="62"/>
      <c r="AQ282" s="62"/>
      <c r="AR282" s="62"/>
      <c r="AS282" s="62"/>
      <c r="AT282" s="62"/>
      <c r="AU282" s="62"/>
      <c r="AV282" s="62"/>
      <c r="AW282" s="62"/>
      <c r="AX282" s="62"/>
      <c r="AY282" s="62"/>
    </row>
    <row r="283" spans="1:51" s="27" customFormat="1" ht="13.8">
      <c r="A283" s="89"/>
      <c r="B283" s="89"/>
      <c r="C283" s="89"/>
      <c r="D283" s="89"/>
      <c r="E283" s="89"/>
      <c r="F283" s="89"/>
      <c r="G283" s="89"/>
      <c r="H283" s="29"/>
      <c r="I283" s="29"/>
      <c r="J283" s="29"/>
      <c r="K283" s="29"/>
      <c r="L283" s="29"/>
      <c r="M283" s="29"/>
      <c r="N283" s="29"/>
      <c r="O283" s="178"/>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62"/>
      <c r="AP283" s="62"/>
      <c r="AQ283" s="62"/>
      <c r="AR283" s="62"/>
      <c r="AS283" s="62"/>
      <c r="AT283" s="62"/>
      <c r="AU283" s="62"/>
      <c r="AV283" s="62"/>
      <c r="AW283" s="62"/>
      <c r="AX283" s="62"/>
      <c r="AY283" s="62"/>
    </row>
    <row r="284" spans="1:51" s="27" customFormat="1" ht="13.8">
      <c r="A284" s="89"/>
      <c r="B284" s="89"/>
      <c r="C284" s="89"/>
      <c r="D284" s="89"/>
      <c r="E284" s="89"/>
      <c r="F284" s="89"/>
      <c r="G284" s="89"/>
      <c r="H284" s="29"/>
      <c r="I284" s="29"/>
      <c r="J284" s="29"/>
      <c r="K284" s="29"/>
      <c r="L284" s="29"/>
      <c r="M284" s="29"/>
      <c r="N284" s="29"/>
      <c r="O284" s="178"/>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62"/>
      <c r="AP284" s="62"/>
      <c r="AQ284" s="62"/>
      <c r="AR284" s="62"/>
      <c r="AS284" s="62"/>
      <c r="AT284" s="62"/>
      <c r="AU284" s="62"/>
      <c r="AV284" s="62"/>
      <c r="AW284" s="62"/>
      <c r="AX284" s="62"/>
      <c r="AY284" s="62"/>
    </row>
    <row r="285" spans="1:51" s="27" customFormat="1" ht="13.8">
      <c r="A285" s="89"/>
      <c r="B285" s="89"/>
      <c r="C285" s="89"/>
      <c r="D285" s="89"/>
      <c r="E285" s="89"/>
      <c r="F285" s="89"/>
      <c r="G285" s="89"/>
      <c r="H285" s="29"/>
      <c r="I285" s="29"/>
      <c r="J285" s="29"/>
      <c r="K285" s="29"/>
      <c r="L285" s="29"/>
      <c r="M285" s="29"/>
      <c r="N285" s="29"/>
      <c r="O285" s="178"/>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62"/>
      <c r="AP285" s="62"/>
      <c r="AQ285" s="62"/>
      <c r="AR285" s="62"/>
      <c r="AS285" s="62"/>
      <c r="AT285" s="62"/>
      <c r="AU285" s="62"/>
      <c r="AV285" s="62"/>
      <c r="AW285" s="62"/>
      <c r="AX285" s="62"/>
      <c r="AY285" s="62"/>
    </row>
    <row r="286" spans="1:51" s="27" customFormat="1" ht="13.8">
      <c r="A286" s="89"/>
      <c r="B286" s="89"/>
      <c r="C286" s="89"/>
      <c r="D286" s="89"/>
      <c r="E286" s="89"/>
      <c r="F286" s="89"/>
      <c r="G286" s="89"/>
      <c r="H286" s="29"/>
      <c r="I286" s="29"/>
      <c r="J286" s="29"/>
      <c r="K286" s="29"/>
      <c r="L286" s="29"/>
      <c r="M286" s="29"/>
      <c r="N286" s="29"/>
      <c r="O286" s="178"/>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62"/>
      <c r="AP286" s="62"/>
      <c r="AQ286" s="62"/>
      <c r="AR286" s="62"/>
      <c r="AS286" s="62"/>
      <c r="AT286" s="62"/>
      <c r="AU286" s="62"/>
      <c r="AV286" s="62"/>
      <c r="AW286" s="62"/>
      <c r="AX286" s="62"/>
      <c r="AY286" s="62"/>
    </row>
    <row r="287" spans="1:51" s="27" customFormat="1" ht="13.8">
      <c r="A287" s="89"/>
      <c r="B287" s="89"/>
      <c r="C287" s="89"/>
      <c r="D287" s="89"/>
      <c r="E287" s="89"/>
      <c r="F287" s="89"/>
      <c r="G287" s="89"/>
      <c r="H287" s="29"/>
      <c r="I287" s="29"/>
      <c r="J287" s="29"/>
      <c r="K287" s="29"/>
      <c r="L287" s="29"/>
      <c r="M287" s="29"/>
      <c r="N287" s="29"/>
      <c r="O287" s="178"/>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62"/>
      <c r="AP287" s="62"/>
      <c r="AQ287" s="62"/>
      <c r="AR287" s="62"/>
      <c r="AS287" s="62"/>
      <c r="AT287" s="62"/>
      <c r="AU287" s="62"/>
      <c r="AV287" s="62"/>
      <c r="AW287" s="62"/>
      <c r="AX287" s="62"/>
      <c r="AY287" s="62"/>
    </row>
    <row r="288" spans="1:51" s="27" customFormat="1" ht="13.8">
      <c r="A288" s="89"/>
      <c r="B288" s="89"/>
      <c r="C288" s="89"/>
      <c r="D288" s="89"/>
      <c r="E288" s="89"/>
      <c r="F288" s="89"/>
      <c r="G288" s="89"/>
      <c r="H288" s="29"/>
      <c r="I288" s="29"/>
      <c r="J288" s="29"/>
      <c r="K288" s="29"/>
      <c r="L288" s="29"/>
      <c r="M288" s="29"/>
      <c r="N288" s="29"/>
      <c r="O288" s="178"/>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62"/>
      <c r="AP288" s="62"/>
      <c r="AQ288" s="62"/>
      <c r="AR288" s="62"/>
      <c r="AS288" s="62"/>
      <c r="AT288" s="62"/>
      <c r="AU288" s="62"/>
      <c r="AV288" s="62"/>
      <c r="AW288" s="62"/>
      <c r="AX288" s="62"/>
      <c r="AY288" s="62"/>
    </row>
    <row r="289" spans="1:51" s="27" customFormat="1" ht="13.8">
      <c r="A289" s="89"/>
      <c r="B289" s="89"/>
      <c r="C289" s="89"/>
      <c r="D289" s="89"/>
      <c r="E289" s="89"/>
      <c r="F289" s="89"/>
      <c r="G289" s="89"/>
      <c r="H289" s="29"/>
      <c r="I289" s="29"/>
      <c r="J289" s="29"/>
      <c r="K289" s="29"/>
      <c r="L289" s="29"/>
      <c r="M289" s="29"/>
      <c r="N289" s="29"/>
      <c r="O289" s="178"/>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62"/>
      <c r="AP289" s="62"/>
      <c r="AQ289" s="62"/>
      <c r="AR289" s="62"/>
      <c r="AS289" s="62"/>
      <c r="AT289" s="62"/>
      <c r="AU289" s="62"/>
      <c r="AV289" s="62"/>
      <c r="AW289" s="62"/>
      <c r="AX289" s="62"/>
      <c r="AY289" s="62"/>
    </row>
    <row r="290" spans="1:51" s="27" customFormat="1" ht="13.8">
      <c r="A290" s="89"/>
      <c r="B290" s="89"/>
      <c r="C290" s="89"/>
      <c r="D290" s="89"/>
      <c r="E290" s="89"/>
      <c r="F290" s="89"/>
      <c r="G290" s="89"/>
      <c r="H290" s="29"/>
      <c r="I290" s="29"/>
      <c r="J290" s="29"/>
      <c r="K290" s="29"/>
      <c r="L290" s="29"/>
      <c r="M290" s="29"/>
      <c r="N290" s="29"/>
      <c r="O290" s="178"/>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62"/>
      <c r="AP290" s="62"/>
      <c r="AQ290" s="62"/>
      <c r="AR290" s="62"/>
      <c r="AS290" s="62"/>
      <c r="AT290" s="62"/>
      <c r="AU290" s="62"/>
      <c r="AV290" s="62"/>
      <c r="AW290" s="62"/>
      <c r="AX290" s="62"/>
      <c r="AY290" s="62"/>
    </row>
    <row r="291" spans="1:51" s="27" customFormat="1" ht="13.8">
      <c r="A291" s="89"/>
      <c r="B291" s="89"/>
      <c r="C291" s="89"/>
      <c r="D291" s="89"/>
      <c r="E291" s="89"/>
      <c r="F291" s="89"/>
      <c r="G291" s="89"/>
      <c r="H291" s="29"/>
      <c r="I291" s="29"/>
      <c r="J291" s="29"/>
      <c r="K291" s="29"/>
      <c r="L291" s="29"/>
      <c r="M291" s="29"/>
      <c r="N291" s="29"/>
      <c r="O291" s="178"/>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62"/>
      <c r="AP291" s="62"/>
      <c r="AQ291" s="62"/>
      <c r="AR291" s="62"/>
      <c r="AS291" s="62"/>
      <c r="AT291" s="62"/>
      <c r="AU291" s="62"/>
      <c r="AV291" s="62"/>
      <c r="AW291" s="62"/>
      <c r="AX291" s="62"/>
      <c r="AY291" s="62"/>
    </row>
    <row r="292" spans="1:51" s="27" customFormat="1" ht="13.8">
      <c r="A292" s="89"/>
      <c r="B292" s="89"/>
      <c r="C292" s="89"/>
      <c r="D292" s="89"/>
      <c r="E292" s="89"/>
      <c r="F292" s="89"/>
      <c r="G292" s="89"/>
      <c r="H292" s="29"/>
      <c r="I292" s="29"/>
      <c r="J292" s="29"/>
      <c r="K292" s="29"/>
      <c r="L292" s="29"/>
      <c r="M292" s="29"/>
      <c r="N292" s="29"/>
      <c r="O292" s="178"/>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62"/>
      <c r="AP292" s="62"/>
      <c r="AQ292" s="62"/>
      <c r="AR292" s="62"/>
      <c r="AS292" s="62"/>
      <c r="AT292" s="62"/>
      <c r="AU292" s="62"/>
      <c r="AV292" s="62"/>
      <c r="AW292" s="62"/>
      <c r="AX292" s="62"/>
      <c r="AY292" s="62"/>
    </row>
    <row r="293" spans="1:51" s="27" customFormat="1" ht="13.8" hidden="1">
      <c r="A293" s="404" t="s">
        <v>82</v>
      </c>
      <c r="B293" s="405"/>
      <c r="C293" s="405"/>
      <c r="D293" s="405"/>
      <c r="E293" s="405"/>
      <c r="F293" s="406"/>
      <c r="G293" s="89"/>
      <c r="H293" s="29"/>
      <c r="I293" s="29"/>
      <c r="J293" s="29"/>
      <c r="K293" s="29"/>
      <c r="L293" s="29"/>
      <c r="M293" s="29"/>
      <c r="N293" s="29"/>
      <c r="O293" s="178"/>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62"/>
      <c r="AP293" s="62"/>
      <c r="AQ293" s="62"/>
      <c r="AR293" s="62"/>
      <c r="AS293" s="62"/>
      <c r="AT293" s="62"/>
      <c r="AU293" s="62"/>
      <c r="AV293" s="62"/>
      <c r="AW293" s="62"/>
      <c r="AX293" s="62"/>
      <c r="AY293" s="62"/>
    </row>
    <row r="294" spans="1:51" s="27" customFormat="1" ht="13.8" hidden="1">
      <c r="A294" s="90" t="s">
        <v>30</v>
      </c>
      <c r="B294" s="407" t="s">
        <v>23</v>
      </c>
      <c r="C294" s="408"/>
      <c r="D294" s="407" t="s">
        <v>33</v>
      </c>
      <c r="E294" s="408"/>
      <c r="F294" s="91" t="s">
        <v>22</v>
      </c>
      <c r="G294" s="89"/>
      <c r="H294" s="29"/>
      <c r="I294" s="29"/>
      <c r="J294" s="29"/>
      <c r="K294" s="29"/>
      <c r="L294" s="29"/>
      <c r="M294" s="29"/>
      <c r="N294" s="29"/>
      <c r="O294" s="178"/>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62"/>
      <c r="AP294" s="62"/>
      <c r="AQ294" s="62"/>
      <c r="AR294" s="62"/>
      <c r="AS294" s="62"/>
      <c r="AT294" s="62"/>
      <c r="AU294" s="62"/>
      <c r="AV294" s="62"/>
      <c r="AW294" s="62"/>
      <c r="AX294" s="62"/>
      <c r="AY294" s="62"/>
    </row>
    <row r="295" spans="1:51" s="27" customFormat="1" ht="13.8" hidden="1">
      <c r="A295" s="92">
        <v>1</v>
      </c>
      <c r="B295" s="93">
        <v>2</v>
      </c>
      <c r="C295" s="93">
        <v>3</v>
      </c>
      <c r="D295" s="93">
        <v>4</v>
      </c>
      <c r="E295" s="92">
        <v>5</v>
      </c>
      <c r="F295" s="93">
        <v>6</v>
      </c>
      <c r="G295" s="89"/>
      <c r="H295" s="29"/>
      <c r="I295" s="29"/>
      <c r="J295" s="29"/>
      <c r="K295" s="29"/>
      <c r="L295" s="29"/>
      <c r="M295" s="29"/>
      <c r="N295" s="29"/>
      <c r="O295" s="178"/>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62"/>
      <c r="AP295" s="62"/>
      <c r="AQ295" s="62"/>
      <c r="AR295" s="62"/>
      <c r="AS295" s="62"/>
      <c r="AT295" s="62"/>
      <c r="AU295" s="62"/>
      <c r="AV295" s="62"/>
      <c r="AW295" s="62"/>
      <c r="AX295" s="62"/>
      <c r="AY295" s="62"/>
    </row>
    <row r="296" spans="1:51" s="27" customFormat="1" ht="13.8" hidden="1">
      <c r="A296" s="94"/>
      <c r="B296" s="93" t="s">
        <v>51</v>
      </c>
      <c r="C296" s="93" t="s">
        <v>31</v>
      </c>
      <c r="D296" s="93" t="s">
        <v>51</v>
      </c>
      <c r="E296" s="93" t="s">
        <v>31</v>
      </c>
      <c r="F296" s="92" t="s">
        <v>31</v>
      </c>
      <c r="G296" s="89"/>
      <c r="H296" s="29"/>
      <c r="I296" s="29"/>
      <c r="J296" s="29"/>
      <c r="K296" s="29"/>
      <c r="L296" s="29"/>
      <c r="M296" s="29"/>
      <c r="N296" s="29"/>
      <c r="O296" s="178"/>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62"/>
      <c r="AP296" s="62"/>
      <c r="AQ296" s="62"/>
      <c r="AR296" s="62"/>
      <c r="AS296" s="62"/>
      <c r="AT296" s="62"/>
      <c r="AU296" s="62"/>
      <c r="AV296" s="62"/>
      <c r="AW296" s="62"/>
      <c r="AX296" s="62"/>
      <c r="AY296" s="62"/>
    </row>
    <row r="297" spans="1:51" s="27" customFormat="1" ht="13.8" hidden="1">
      <c r="A297" s="95"/>
      <c r="B297" s="90">
        <v>2025</v>
      </c>
      <c r="C297" s="90">
        <v>2026</v>
      </c>
      <c r="D297" s="90" t="s">
        <v>187</v>
      </c>
      <c r="E297" s="90" t="s">
        <v>220</v>
      </c>
      <c r="F297" s="96"/>
      <c r="G297" s="89"/>
      <c r="H297" s="29"/>
      <c r="I297" s="29"/>
      <c r="J297" s="29"/>
      <c r="K297" s="29"/>
      <c r="L297" s="29"/>
      <c r="M297" s="29"/>
      <c r="N297" s="29"/>
      <c r="O297" s="178"/>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62"/>
      <c r="AP297" s="62"/>
      <c r="AQ297" s="62"/>
      <c r="AR297" s="62"/>
      <c r="AS297" s="62"/>
      <c r="AT297" s="62"/>
      <c r="AU297" s="62"/>
      <c r="AV297" s="62"/>
      <c r="AW297" s="62"/>
      <c r="AX297" s="62"/>
      <c r="AY297" s="62"/>
    </row>
    <row r="298" spans="1:51" s="27" customFormat="1" ht="13.8" hidden="1">
      <c r="A298" s="97" t="s">
        <v>156</v>
      </c>
      <c r="B298" s="98">
        <f ca="1">IFERROR(B141+B222,"")</f>
        <v>-0.10050360008636638</v>
      </c>
      <c r="C298" s="98">
        <f ca="1">IFERROR(C141+C222,"")</f>
        <v>-0.22862802552877298</v>
      </c>
      <c r="D298" s="98">
        <f>IFERROR(D141+D222,"")</f>
        <v>-0.39157314494574846</v>
      </c>
      <c r="E298" s="98">
        <f>IFERROR(E141+E222,"")</f>
        <v>-0.34427920958369912</v>
      </c>
      <c r="F298" s="98">
        <f ca="1">IFERROR(C298-E298,"")</f>
        <v>0.11565118405492614</v>
      </c>
      <c r="G298" s="89"/>
      <c r="H298" s="29"/>
      <c r="I298" s="29"/>
      <c r="J298" s="29"/>
      <c r="K298" s="29"/>
      <c r="L298" s="29"/>
      <c r="M298" s="29"/>
      <c r="N298" s="29"/>
      <c r="O298" s="178"/>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62"/>
      <c r="AP298" s="62"/>
      <c r="AQ298" s="62"/>
      <c r="AR298" s="62"/>
      <c r="AS298" s="62"/>
      <c r="AT298" s="62"/>
      <c r="AU298" s="62"/>
      <c r="AV298" s="62"/>
      <c r="AW298" s="62"/>
      <c r="AX298" s="62"/>
      <c r="AY298" s="62"/>
    </row>
    <row r="299" spans="1:51" s="27" customFormat="1" ht="13.8" hidden="1">
      <c r="A299" s="97" t="s">
        <v>157</v>
      </c>
      <c r="B299" s="98">
        <f t="shared" ref="B299:E309" ca="1" si="50">IFERROR(B142+B223,"")</f>
        <v>-0.44585440279513477</v>
      </c>
      <c r="C299" s="98">
        <f t="shared" ca="1" si="50"/>
        <v>0.66906718179533931</v>
      </c>
      <c r="D299" s="98">
        <f t="shared" si="50"/>
        <v>-0.78314628989149693</v>
      </c>
      <c r="E299" s="98">
        <f t="shared" si="50"/>
        <v>-0.68855841916739824</v>
      </c>
      <c r="F299" s="98">
        <f t="shared" ref="F299:F309" ca="1" si="51">IFERROR(C299-E299,"")</f>
        <v>1.3576256009627374</v>
      </c>
      <c r="G299" s="89"/>
      <c r="H299" s="29"/>
      <c r="I299" s="29"/>
      <c r="J299" s="29"/>
      <c r="K299" s="29"/>
      <c r="L299" s="29"/>
      <c r="M299" s="29"/>
      <c r="N299" s="29"/>
      <c r="O299" s="178"/>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62"/>
      <c r="AP299" s="62"/>
      <c r="AQ299" s="62"/>
      <c r="AR299" s="62"/>
      <c r="AS299" s="62"/>
      <c r="AT299" s="62"/>
      <c r="AU299" s="62"/>
      <c r="AV299" s="62"/>
      <c r="AW299" s="62"/>
      <c r="AX299" s="62"/>
      <c r="AY299" s="62"/>
    </row>
    <row r="300" spans="1:51" s="27" customFormat="1" ht="13.8" hidden="1">
      <c r="A300" s="97" t="s">
        <v>158</v>
      </c>
      <c r="B300" s="98">
        <f t="shared" ca="1" si="50"/>
        <v>-1.5542299250758653</v>
      </c>
      <c r="C300" s="98">
        <f t="shared" ca="1" si="50"/>
        <v>-0.27617024888926012</v>
      </c>
      <c r="D300" s="98">
        <f t="shared" si="50"/>
        <v>-1.1747194348372454</v>
      </c>
      <c r="E300" s="98">
        <f t="shared" si="50"/>
        <v>-1.0328376287510976</v>
      </c>
      <c r="F300" s="98">
        <f t="shared" ca="1" si="51"/>
        <v>0.75666737986183752</v>
      </c>
      <c r="G300" s="89"/>
      <c r="H300" s="29"/>
      <c r="I300" s="29"/>
      <c r="J300" s="29"/>
      <c r="K300" s="29"/>
      <c r="L300" s="29"/>
      <c r="M300" s="29"/>
      <c r="N300" s="29"/>
      <c r="O300" s="178"/>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62"/>
      <c r="AP300" s="62"/>
      <c r="AQ300" s="62"/>
      <c r="AR300" s="62"/>
      <c r="AS300" s="62"/>
      <c r="AT300" s="62"/>
      <c r="AU300" s="62"/>
      <c r="AV300" s="62"/>
      <c r="AW300" s="62"/>
      <c r="AX300" s="62"/>
      <c r="AY300" s="62"/>
    </row>
    <row r="301" spans="1:51" s="27" customFormat="1" ht="13.8" hidden="1">
      <c r="A301" s="97" t="s">
        <v>159</v>
      </c>
      <c r="B301" s="98">
        <f t="shared" ca="1" si="50"/>
        <v>-2.1382296991901901</v>
      </c>
      <c r="C301" s="98">
        <f t="shared" ca="1" si="50"/>
        <v>-0.62345619712550548</v>
      </c>
      <c r="D301" s="98">
        <f t="shared" si="50"/>
        <v>-1.5662925797829939</v>
      </c>
      <c r="E301" s="98">
        <f t="shared" si="50"/>
        <v>-1.3771168383347965</v>
      </c>
      <c r="F301" s="98">
        <f t="shared" ca="1" si="51"/>
        <v>0.75366064120929099</v>
      </c>
      <c r="G301" s="89"/>
      <c r="H301" s="29"/>
      <c r="I301" s="29"/>
      <c r="J301" s="29"/>
      <c r="K301" s="29"/>
      <c r="L301" s="29"/>
      <c r="M301" s="29"/>
      <c r="N301" s="29"/>
      <c r="O301" s="178"/>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62"/>
      <c r="AP301" s="62"/>
      <c r="AQ301" s="62"/>
      <c r="AR301" s="62"/>
      <c r="AS301" s="62"/>
      <c r="AT301" s="62"/>
      <c r="AU301" s="62"/>
      <c r="AV301" s="62"/>
      <c r="AW301" s="62"/>
      <c r="AX301" s="62"/>
      <c r="AY301" s="62"/>
    </row>
    <row r="302" spans="1:51" s="27" customFormat="1" ht="13.8" hidden="1">
      <c r="A302" s="97" t="s">
        <v>160</v>
      </c>
      <c r="B302" s="98">
        <f t="shared" ca="1" si="50"/>
        <v>-1.3634959745680475</v>
      </c>
      <c r="C302" s="98">
        <f t="shared" ca="1" si="50"/>
        <v>8.0472602261335902E-2</v>
      </c>
      <c r="D302" s="98">
        <f t="shared" si="50"/>
        <v>-1.9578657247287423</v>
      </c>
      <c r="E302" s="98">
        <f t="shared" si="50"/>
        <v>-1.7213960479184962</v>
      </c>
      <c r="F302" s="98">
        <f t="shared" ca="1" si="51"/>
        <v>1.801868650179832</v>
      </c>
      <c r="G302" s="89"/>
      <c r="H302" s="29"/>
      <c r="I302" s="29"/>
      <c r="J302" s="29"/>
      <c r="K302" s="29"/>
      <c r="L302" s="29"/>
      <c r="M302" s="29"/>
      <c r="N302" s="29"/>
      <c r="O302" s="178"/>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62"/>
      <c r="AP302" s="62"/>
      <c r="AQ302" s="62"/>
      <c r="AR302" s="62"/>
      <c r="AS302" s="62"/>
      <c r="AT302" s="62"/>
      <c r="AU302" s="62"/>
      <c r="AV302" s="62"/>
      <c r="AW302" s="62"/>
      <c r="AX302" s="62"/>
      <c r="AY302" s="62"/>
    </row>
    <row r="303" spans="1:51" s="27" customFormat="1" ht="13.8" hidden="1">
      <c r="A303" s="97" t="s">
        <v>161</v>
      </c>
      <c r="B303" s="98">
        <f t="shared" ca="1" si="50"/>
        <v>-1.0906861743277769</v>
      </c>
      <c r="C303" s="98">
        <f t="shared" ca="1" si="50"/>
        <v>0.22580138354079315</v>
      </c>
      <c r="D303" s="98">
        <f t="shared" si="50"/>
        <v>-2.3494388696744908</v>
      </c>
      <c r="E303" s="98">
        <f t="shared" si="50"/>
        <v>-2.0656752575021953</v>
      </c>
      <c r="F303" s="98">
        <f t="shared" ca="1" si="51"/>
        <v>2.2914766410429883</v>
      </c>
      <c r="G303" s="89"/>
      <c r="H303" s="29"/>
      <c r="I303" s="29"/>
      <c r="J303" s="29"/>
      <c r="K303" s="29"/>
      <c r="L303" s="29"/>
      <c r="M303" s="29"/>
      <c r="N303" s="29"/>
      <c r="O303" s="178"/>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62"/>
      <c r="AP303" s="62"/>
      <c r="AQ303" s="62"/>
      <c r="AR303" s="62"/>
      <c r="AS303" s="62"/>
      <c r="AT303" s="62"/>
      <c r="AU303" s="62"/>
      <c r="AV303" s="62"/>
      <c r="AW303" s="62"/>
      <c r="AX303" s="62"/>
      <c r="AY303" s="62"/>
    </row>
    <row r="304" spans="1:51" s="27" customFormat="1" ht="13.8" hidden="1">
      <c r="A304" s="97" t="s">
        <v>162</v>
      </c>
      <c r="B304" s="98">
        <f t="shared" ca="1" si="50"/>
        <v>-1.3664312658406426</v>
      </c>
      <c r="C304" s="98">
        <f t="shared" ca="1" si="50"/>
        <v>-0.11543699889523762</v>
      </c>
      <c r="D304" s="98">
        <f t="shared" si="50"/>
        <v>-2.7410120146202384</v>
      </c>
      <c r="E304" s="98">
        <f t="shared" si="50"/>
        <v>-2.4099544670858943</v>
      </c>
      <c r="F304" s="98">
        <f t="shared" ca="1" si="51"/>
        <v>2.2945174681906568</v>
      </c>
      <c r="G304" s="89"/>
      <c r="H304" s="29"/>
      <c r="I304" s="29"/>
      <c r="J304" s="29"/>
      <c r="K304" s="29"/>
      <c r="L304" s="29"/>
      <c r="M304" s="29"/>
      <c r="N304" s="29"/>
      <c r="O304" s="178"/>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62"/>
      <c r="AP304" s="62"/>
      <c r="AQ304" s="62"/>
      <c r="AR304" s="62"/>
      <c r="AS304" s="62"/>
      <c r="AT304" s="62"/>
      <c r="AU304" s="62"/>
      <c r="AV304" s="62"/>
      <c r="AW304" s="62"/>
      <c r="AX304" s="62"/>
      <c r="AY304" s="62"/>
    </row>
    <row r="305" spans="1:51" s="27" customFormat="1" ht="13.8" hidden="1">
      <c r="A305" s="97" t="s">
        <v>163</v>
      </c>
      <c r="B305" s="98">
        <f t="shared" ca="1" si="50"/>
        <v>-1.0071325212388116</v>
      </c>
      <c r="C305" s="98" t="str">
        <f t="shared" ca="1" si="50"/>
        <v/>
      </c>
      <c r="D305" s="98">
        <f t="shared" si="50"/>
        <v>-3.1325851595659877</v>
      </c>
      <c r="E305" s="98">
        <f t="shared" si="50"/>
        <v>-2.754233676669593</v>
      </c>
      <c r="F305" s="98" t="str">
        <f t="shared" ca="1" si="51"/>
        <v/>
      </c>
      <c r="G305" s="89"/>
      <c r="H305" s="29"/>
      <c r="I305" s="29"/>
      <c r="J305" s="29"/>
      <c r="K305" s="29"/>
      <c r="L305" s="29"/>
      <c r="M305" s="29"/>
      <c r="N305" s="29"/>
      <c r="O305" s="178"/>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62"/>
      <c r="AP305" s="62"/>
      <c r="AQ305" s="62"/>
      <c r="AR305" s="62"/>
      <c r="AS305" s="62"/>
      <c r="AT305" s="62"/>
      <c r="AU305" s="62"/>
      <c r="AV305" s="62"/>
      <c r="AW305" s="62"/>
      <c r="AX305" s="62"/>
      <c r="AY305" s="62"/>
    </row>
    <row r="306" spans="1:51" s="27" customFormat="1" ht="13.8" hidden="1">
      <c r="A306" s="97" t="s">
        <v>164</v>
      </c>
      <c r="B306" s="98">
        <f t="shared" ca="1" si="50"/>
        <v>-1.6628941757334328</v>
      </c>
      <c r="C306" s="98" t="str">
        <f t="shared" ca="1" si="50"/>
        <v/>
      </c>
      <c r="D306" s="98">
        <f t="shared" si="50"/>
        <v>-3.5241583045117366</v>
      </c>
      <c r="E306" s="98">
        <f t="shared" si="50"/>
        <v>-3.0985128862532929</v>
      </c>
      <c r="F306" s="98" t="str">
        <f t="shared" ca="1" si="51"/>
        <v/>
      </c>
      <c r="G306" s="89"/>
      <c r="H306" s="29"/>
      <c r="I306" s="29"/>
      <c r="J306" s="29"/>
      <c r="K306" s="29"/>
      <c r="L306" s="29"/>
      <c r="M306" s="29"/>
      <c r="N306" s="29"/>
      <c r="O306" s="178"/>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62"/>
      <c r="AP306" s="62"/>
      <c r="AQ306" s="62"/>
      <c r="AR306" s="62"/>
      <c r="AS306" s="62"/>
      <c r="AT306" s="62"/>
      <c r="AU306" s="62"/>
      <c r="AV306" s="62"/>
      <c r="AW306" s="62"/>
      <c r="AX306" s="62"/>
      <c r="AY306" s="62"/>
    </row>
    <row r="307" spans="1:51" s="27" customFormat="1" ht="13.8" hidden="1">
      <c r="A307" s="97" t="s">
        <v>165</v>
      </c>
      <c r="B307" s="98">
        <f t="shared" ca="1" si="50"/>
        <v>-2.3687832281687062</v>
      </c>
      <c r="C307" s="98" t="str">
        <f t="shared" ca="1" si="50"/>
        <v/>
      </c>
      <c r="D307" s="98">
        <f t="shared" si="50"/>
        <v>-3.9157314494574846</v>
      </c>
      <c r="E307" s="98">
        <f t="shared" si="50"/>
        <v>-3.4427920958369924</v>
      </c>
      <c r="F307" s="98" t="str">
        <f t="shared" ca="1" si="51"/>
        <v/>
      </c>
      <c r="G307" s="89"/>
      <c r="H307" s="29"/>
      <c r="I307" s="29"/>
      <c r="J307" s="29"/>
      <c r="K307" s="29"/>
      <c r="L307" s="29"/>
      <c r="M307" s="29"/>
      <c r="N307" s="29"/>
      <c r="O307" s="178"/>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62"/>
      <c r="AP307" s="62"/>
      <c r="AQ307" s="62"/>
      <c r="AR307" s="62"/>
      <c r="AS307" s="62"/>
      <c r="AT307" s="62"/>
      <c r="AU307" s="62"/>
      <c r="AV307" s="62"/>
      <c r="AW307" s="62"/>
      <c r="AX307" s="62"/>
      <c r="AY307" s="62"/>
    </row>
    <row r="308" spans="1:51" s="27" customFormat="1" ht="13.8" hidden="1">
      <c r="A308" s="97" t="s">
        <v>166</v>
      </c>
      <c r="B308" s="98">
        <f t="shared" ca="1" si="50"/>
        <v>-2.8233456733445408</v>
      </c>
      <c r="C308" s="98" t="str">
        <f t="shared" ca="1" si="50"/>
        <v/>
      </c>
      <c r="D308" s="98">
        <f t="shared" si="50"/>
        <v>-4.3073045944032327</v>
      </c>
      <c r="E308" s="98">
        <f t="shared" si="50"/>
        <v>-3.7870713054206915</v>
      </c>
      <c r="F308" s="98" t="str">
        <f t="shared" ca="1" si="51"/>
        <v/>
      </c>
      <c r="G308" s="89"/>
      <c r="H308" s="29"/>
      <c r="I308" s="29"/>
      <c r="J308" s="29"/>
      <c r="K308" s="29"/>
      <c r="L308" s="29"/>
      <c r="M308" s="29"/>
      <c r="N308" s="29"/>
      <c r="O308" s="178"/>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62"/>
      <c r="AP308" s="62"/>
      <c r="AQ308" s="62"/>
      <c r="AR308" s="62"/>
      <c r="AS308" s="62"/>
      <c r="AT308" s="62"/>
      <c r="AU308" s="62"/>
      <c r="AV308" s="62"/>
      <c r="AW308" s="62"/>
      <c r="AX308" s="62"/>
      <c r="AY308" s="62"/>
    </row>
    <row r="309" spans="1:51" s="27" customFormat="1" ht="13.8" hidden="1">
      <c r="A309" s="97" t="s">
        <v>167</v>
      </c>
      <c r="B309" s="98">
        <f t="shared" ca="1" si="50"/>
        <v>-4.060178472204953</v>
      </c>
      <c r="C309" s="98" t="str">
        <f t="shared" ca="1" si="50"/>
        <v/>
      </c>
      <c r="D309" s="98">
        <f t="shared" si="50"/>
        <v>-4.6988777393489816</v>
      </c>
      <c r="E309" s="98">
        <f t="shared" si="50"/>
        <v>-4.1313505150043905</v>
      </c>
      <c r="F309" s="98" t="str">
        <f t="shared" ca="1" si="51"/>
        <v/>
      </c>
      <c r="G309" s="89"/>
      <c r="H309" s="29"/>
      <c r="I309" s="29"/>
      <c r="J309" s="29"/>
      <c r="K309" s="29"/>
      <c r="L309" s="29"/>
      <c r="M309" s="29"/>
      <c r="N309" s="29"/>
      <c r="O309" s="178"/>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62"/>
      <c r="AP309" s="62"/>
      <c r="AQ309" s="62"/>
      <c r="AR309" s="62"/>
      <c r="AS309" s="62"/>
      <c r="AT309" s="62"/>
      <c r="AU309" s="62"/>
      <c r="AV309" s="62"/>
      <c r="AW309" s="62"/>
      <c r="AX309" s="62"/>
      <c r="AY309" s="62"/>
    </row>
    <row r="310" spans="1:51" s="27" customFormat="1" ht="13.8" hidden="1">
      <c r="A310" s="89"/>
      <c r="B310" s="89"/>
      <c r="C310" s="89"/>
      <c r="D310" s="89"/>
      <c r="E310" s="89"/>
      <c r="F310" s="89"/>
      <c r="G310" s="89"/>
      <c r="H310" s="29"/>
      <c r="I310" s="29"/>
      <c r="J310" s="29"/>
      <c r="K310" s="29"/>
      <c r="L310" s="29"/>
      <c r="M310" s="29"/>
      <c r="N310" s="29"/>
      <c r="O310" s="178"/>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62"/>
      <c r="AP310" s="62"/>
      <c r="AQ310" s="62"/>
      <c r="AR310" s="62"/>
      <c r="AS310" s="62"/>
      <c r="AT310" s="62"/>
      <c r="AU310" s="62"/>
      <c r="AV310" s="62"/>
      <c r="AW310" s="62"/>
      <c r="AX310" s="62"/>
      <c r="AY310" s="62"/>
    </row>
    <row r="311" spans="1:51" s="27" customFormat="1" ht="13.8" hidden="1">
      <c r="A311" s="89"/>
      <c r="B311" s="89"/>
      <c r="C311" s="89"/>
      <c r="D311" s="89"/>
      <c r="E311" s="89"/>
      <c r="F311" s="89"/>
      <c r="G311" s="89"/>
      <c r="H311" s="29"/>
      <c r="I311" s="29"/>
      <c r="J311" s="29"/>
      <c r="K311" s="29"/>
      <c r="L311" s="29"/>
      <c r="M311" s="29"/>
      <c r="N311" s="29"/>
      <c r="O311" s="178"/>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77"/>
      <c r="AM311" s="77"/>
      <c r="AN311" s="77"/>
      <c r="AO311" s="62"/>
      <c r="AP311" s="62"/>
      <c r="AQ311" s="62"/>
      <c r="AR311" s="62"/>
      <c r="AS311" s="62"/>
      <c r="AT311" s="62"/>
      <c r="AU311" s="62"/>
      <c r="AV311" s="62"/>
      <c r="AW311" s="62"/>
      <c r="AX311" s="62"/>
      <c r="AY311" s="62"/>
    </row>
    <row r="312" spans="1:51" s="27" customFormat="1" ht="13.8" hidden="1">
      <c r="A312" s="89"/>
      <c r="B312" s="89"/>
      <c r="C312" s="89"/>
      <c r="D312" s="89"/>
      <c r="E312" s="89"/>
      <c r="F312" s="89"/>
      <c r="G312" s="89"/>
      <c r="H312" s="29"/>
      <c r="I312" s="29"/>
      <c r="J312" s="29"/>
      <c r="K312" s="29"/>
      <c r="L312" s="29"/>
      <c r="M312" s="29"/>
      <c r="N312" s="29"/>
      <c r="O312" s="178"/>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77"/>
      <c r="AM312" s="77"/>
      <c r="AN312" s="77"/>
      <c r="AO312" s="62"/>
      <c r="AP312" s="62"/>
      <c r="AQ312" s="62"/>
      <c r="AR312" s="62"/>
      <c r="AS312" s="62"/>
      <c r="AT312" s="62"/>
      <c r="AU312" s="62"/>
      <c r="AV312" s="62"/>
      <c r="AW312" s="62"/>
      <c r="AX312" s="62"/>
      <c r="AY312" s="62"/>
    </row>
    <row r="313" spans="1:51" s="27" customFormat="1" ht="13.8" hidden="1">
      <c r="A313" s="89"/>
      <c r="B313" s="89"/>
      <c r="C313" s="89"/>
      <c r="D313" s="89"/>
      <c r="E313" s="89"/>
      <c r="F313" s="89"/>
      <c r="G313" s="89"/>
      <c r="H313" s="29"/>
      <c r="I313" s="29"/>
      <c r="J313" s="29"/>
      <c r="K313" s="29"/>
      <c r="L313" s="29"/>
      <c r="M313" s="29"/>
      <c r="N313" s="29"/>
      <c r="O313" s="178"/>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77"/>
      <c r="AM313" s="77"/>
      <c r="AN313" s="77"/>
      <c r="AO313" s="62"/>
      <c r="AP313" s="62"/>
      <c r="AQ313" s="62"/>
      <c r="AR313" s="62"/>
      <c r="AS313" s="62"/>
      <c r="AT313" s="62"/>
      <c r="AU313" s="62"/>
      <c r="AV313" s="62"/>
      <c r="AW313" s="62"/>
      <c r="AX313" s="62"/>
      <c r="AY313" s="62"/>
    </row>
    <row r="314" spans="1:51" s="27" customFormat="1" ht="13.8" hidden="1">
      <c r="A314" s="89"/>
      <c r="B314" s="89"/>
      <c r="C314" s="89"/>
      <c r="D314" s="89"/>
      <c r="E314" s="89"/>
      <c r="F314" s="89"/>
      <c r="G314" s="89"/>
      <c r="H314" s="29"/>
      <c r="I314" s="29"/>
      <c r="J314" s="29"/>
      <c r="K314" s="29"/>
      <c r="L314" s="29"/>
      <c r="M314" s="29"/>
      <c r="N314" s="29"/>
      <c r="O314" s="178"/>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77"/>
      <c r="AM314" s="77"/>
      <c r="AN314" s="77"/>
      <c r="AO314" s="62"/>
      <c r="AP314" s="62"/>
      <c r="AQ314" s="62"/>
      <c r="AR314" s="62"/>
      <c r="AS314" s="62"/>
      <c r="AT314" s="62"/>
      <c r="AU314" s="62"/>
      <c r="AV314" s="62"/>
      <c r="AW314" s="62"/>
      <c r="AX314" s="62"/>
      <c r="AY314" s="62"/>
    </row>
    <row r="315" spans="1:51" s="27" customFormat="1" ht="13.8" hidden="1">
      <c r="A315" s="89"/>
      <c r="B315" s="89"/>
      <c r="C315" s="89"/>
      <c r="D315" s="89"/>
      <c r="E315" s="89"/>
      <c r="F315" s="89"/>
      <c r="G315" s="89"/>
      <c r="H315" s="29"/>
      <c r="I315" s="29"/>
      <c r="J315" s="29"/>
      <c r="K315" s="29"/>
      <c r="L315" s="29"/>
      <c r="M315" s="29"/>
      <c r="N315" s="29"/>
      <c r="O315" s="178"/>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77"/>
      <c r="AM315" s="77"/>
      <c r="AN315" s="77"/>
      <c r="AO315" s="62"/>
      <c r="AP315" s="62"/>
      <c r="AQ315" s="62"/>
      <c r="AR315" s="62"/>
      <c r="AS315" s="62"/>
      <c r="AT315" s="62"/>
      <c r="AU315" s="62"/>
      <c r="AV315" s="62"/>
      <c r="AW315" s="62"/>
      <c r="AX315" s="62"/>
      <c r="AY315" s="62"/>
    </row>
    <row r="316" spans="1:51" s="27" customFormat="1" ht="13.8" hidden="1">
      <c r="A316" s="89"/>
      <c r="B316" s="89"/>
      <c r="C316" s="89"/>
      <c r="D316" s="89"/>
      <c r="E316" s="89"/>
      <c r="F316" s="89"/>
      <c r="G316" s="89"/>
      <c r="H316" s="29"/>
      <c r="I316" s="29"/>
      <c r="J316" s="29"/>
      <c r="K316" s="29"/>
      <c r="L316" s="29"/>
      <c r="M316" s="29"/>
      <c r="N316" s="29"/>
      <c r="O316" s="178"/>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77"/>
      <c r="AM316" s="77"/>
      <c r="AN316" s="77"/>
      <c r="AO316" s="62"/>
      <c r="AP316" s="62"/>
      <c r="AQ316" s="62"/>
      <c r="AR316" s="62"/>
      <c r="AS316" s="62"/>
      <c r="AT316" s="62"/>
      <c r="AU316" s="62"/>
      <c r="AV316" s="62"/>
      <c r="AW316" s="62"/>
      <c r="AX316" s="62"/>
      <c r="AY316" s="62"/>
    </row>
    <row r="317" spans="1:51" s="27" customFormat="1" ht="13.8" hidden="1">
      <c r="A317" s="89"/>
      <c r="B317" s="89"/>
      <c r="C317" s="89"/>
      <c r="D317" s="89"/>
      <c r="E317" s="89"/>
      <c r="F317" s="89"/>
      <c r="G317" s="89"/>
      <c r="H317" s="29"/>
      <c r="I317" s="29"/>
      <c r="J317" s="29"/>
      <c r="K317" s="29"/>
      <c r="L317" s="29"/>
      <c r="M317" s="29"/>
      <c r="N317" s="29"/>
      <c r="O317" s="178"/>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77"/>
      <c r="AM317" s="77"/>
      <c r="AN317" s="77"/>
      <c r="AO317" s="62"/>
      <c r="AP317" s="62"/>
      <c r="AQ317" s="62"/>
      <c r="AR317" s="62"/>
      <c r="AS317" s="62"/>
      <c r="AT317" s="62"/>
      <c r="AU317" s="62"/>
      <c r="AV317" s="62"/>
      <c r="AW317" s="62"/>
      <c r="AX317" s="62"/>
      <c r="AY317" s="62"/>
    </row>
    <row r="318" spans="1:51" s="27" customFormat="1" ht="13.8" hidden="1">
      <c r="A318" s="89"/>
      <c r="B318" s="89"/>
      <c r="C318" s="89"/>
      <c r="D318" s="89"/>
      <c r="E318" s="89"/>
      <c r="F318" s="89"/>
      <c r="G318" s="89"/>
      <c r="H318" s="29"/>
      <c r="I318" s="29"/>
      <c r="J318" s="29"/>
      <c r="K318" s="29"/>
      <c r="L318" s="29"/>
      <c r="M318" s="29"/>
      <c r="N318" s="29"/>
      <c r="O318" s="178"/>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77"/>
      <c r="AM318" s="77"/>
      <c r="AN318" s="77"/>
      <c r="AO318" s="62"/>
      <c r="AP318" s="62"/>
      <c r="AQ318" s="62"/>
      <c r="AR318" s="62"/>
      <c r="AS318" s="62"/>
      <c r="AT318" s="62"/>
      <c r="AU318" s="62"/>
      <c r="AV318" s="62"/>
      <c r="AW318" s="62"/>
      <c r="AX318" s="62"/>
      <c r="AY318" s="62"/>
    </row>
    <row r="319" spans="1:51" s="27" customFormat="1" ht="13.8" hidden="1">
      <c r="A319" s="89"/>
      <c r="B319" s="89"/>
      <c r="C319" s="89"/>
      <c r="D319" s="89"/>
      <c r="E319" s="89"/>
      <c r="F319" s="89"/>
      <c r="G319" s="89"/>
      <c r="H319" s="29"/>
      <c r="I319" s="29"/>
      <c r="J319" s="29"/>
      <c r="K319" s="29"/>
      <c r="L319" s="29"/>
      <c r="M319" s="29"/>
      <c r="N319" s="29"/>
      <c r="O319" s="178"/>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77"/>
      <c r="AM319" s="77"/>
      <c r="AN319" s="77"/>
      <c r="AO319" s="62"/>
      <c r="AP319" s="62"/>
      <c r="AQ319" s="62"/>
      <c r="AR319" s="62"/>
      <c r="AS319" s="62"/>
      <c r="AT319" s="62"/>
      <c r="AU319" s="62"/>
      <c r="AV319" s="62"/>
      <c r="AW319" s="62"/>
      <c r="AX319" s="62"/>
      <c r="AY319" s="62"/>
    </row>
    <row r="320" spans="1:51" s="27" customFormat="1" ht="13.8" hidden="1">
      <c r="A320" s="89"/>
      <c r="B320" s="89"/>
      <c r="C320" s="89"/>
      <c r="D320" s="89"/>
      <c r="E320" s="89"/>
      <c r="F320" s="89"/>
      <c r="G320" s="89"/>
      <c r="H320" s="29"/>
      <c r="I320" s="29"/>
      <c r="J320" s="29"/>
      <c r="K320" s="29"/>
      <c r="L320" s="29"/>
      <c r="M320" s="29"/>
      <c r="N320" s="29"/>
      <c r="O320" s="178"/>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62"/>
      <c r="AP320" s="62"/>
      <c r="AQ320" s="62"/>
      <c r="AR320" s="62"/>
      <c r="AS320" s="62"/>
      <c r="AT320" s="62"/>
      <c r="AU320" s="62"/>
      <c r="AV320" s="62"/>
      <c r="AW320" s="62"/>
      <c r="AX320" s="62"/>
      <c r="AY320" s="62"/>
    </row>
    <row r="321" spans="1:51" s="27" customFormat="1" ht="13.8" hidden="1">
      <c r="A321" s="89"/>
      <c r="B321" s="89"/>
      <c r="C321" s="89"/>
      <c r="D321" s="89"/>
      <c r="E321" s="89"/>
      <c r="F321" s="89"/>
      <c r="G321" s="89"/>
      <c r="H321" s="29"/>
      <c r="I321" s="29"/>
      <c r="J321" s="29"/>
      <c r="K321" s="29"/>
      <c r="L321" s="29"/>
      <c r="M321" s="29"/>
      <c r="N321" s="29"/>
      <c r="O321" s="178"/>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77"/>
      <c r="AM321" s="77"/>
      <c r="AN321" s="77"/>
      <c r="AO321" s="62"/>
      <c r="AP321" s="62"/>
      <c r="AQ321" s="62"/>
      <c r="AR321" s="62"/>
      <c r="AS321" s="62"/>
      <c r="AT321" s="62"/>
      <c r="AU321" s="62"/>
      <c r="AV321" s="62"/>
      <c r="AW321" s="62"/>
      <c r="AX321" s="62"/>
      <c r="AY321" s="62"/>
    </row>
    <row r="322" spans="1:51" s="27" customFormat="1" ht="13.8" hidden="1">
      <c r="A322" s="89"/>
      <c r="B322" s="89"/>
      <c r="C322" s="89"/>
      <c r="D322" s="89"/>
      <c r="E322" s="89"/>
      <c r="F322" s="89"/>
      <c r="G322" s="89"/>
      <c r="H322" s="29"/>
      <c r="I322" s="29"/>
      <c r="J322" s="29"/>
      <c r="K322" s="29"/>
      <c r="L322" s="29"/>
      <c r="M322" s="29"/>
      <c r="N322" s="29"/>
      <c r="O322" s="178"/>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77"/>
      <c r="AM322" s="77"/>
      <c r="AN322" s="77"/>
      <c r="AO322" s="62"/>
      <c r="AP322" s="62"/>
      <c r="AQ322" s="62"/>
      <c r="AR322" s="62"/>
      <c r="AS322" s="62"/>
      <c r="AT322" s="62"/>
      <c r="AU322" s="62"/>
      <c r="AV322" s="62"/>
      <c r="AW322" s="62"/>
      <c r="AX322" s="62"/>
      <c r="AY322" s="62"/>
    </row>
    <row r="323" spans="1:51" s="27" customFormat="1" ht="13.8" hidden="1">
      <c r="A323" s="89"/>
      <c r="B323" s="89"/>
      <c r="C323" s="89"/>
      <c r="D323" s="89"/>
      <c r="E323" s="89"/>
      <c r="F323" s="89"/>
      <c r="G323" s="89"/>
      <c r="H323" s="29"/>
      <c r="I323" s="29"/>
      <c r="J323" s="29"/>
      <c r="K323" s="29"/>
      <c r="L323" s="29"/>
      <c r="M323" s="29"/>
      <c r="N323" s="29"/>
      <c r="O323" s="178"/>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77"/>
      <c r="AM323" s="77"/>
      <c r="AN323" s="77"/>
      <c r="AO323" s="62"/>
      <c r="AP323" s="62"/>
      <c r="AQ323" s="62"/>
      <c r="AR323" s="62"/>
      <c r="AS323" s="62"/>
      <c r="AT323" s="62"/>
      <c r="AU323" s="62"/>
      <c r="AV323" s="62"/>
      <c r="AW323" s="62"/>
      <c r="AX323" s="62"/>
      <c r="AY323" s="62"/>
    </row>
    <row r="324" spans="1:51" s="27" customFormat="1" ht="13.8" hidden="1">
      <c r="A324" s="89"/>
      <c r="B324" s="89"/>
      <c r="C324" s="89"/>
      <c r="D324" s="89"/>
      <c r="E324" s="89"/>
      <c r="F324" s="89"/>
      <c r="G324" s="89"/>
      <c r="H324" s="29"/>
      <c r="I324" s="29"/>
      <c r="J324" s="29"/>
      <c r="K324" s="29"/>
      <c r="L324" s="29"/>
      <c r="M324" s="29"/>
      <c r="N324" s="29"/>
      <c r="O324" s="178"/>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77"/>
      <c r="AM324" s="77"/>
      <c r="AN324" s="77"/>
      <c r="AO324" s="62"/>
      <c r="AP324" s="62"/>
      <c r="AQ324" s="62"/>
      <c r="AR324" s="62"/>
      <c r="AS324" s="62"/>
      <c r="AT324" s="62"/>
      <c r="AU324" s="62"/>
      <c r="AV324" s="62"/>
      <c r="AW324" s="62"/>
      <c r="AX324" s="62"/>
      <c r="AY324" s="62"/>
    </row>
    <row r="325" spans="1:51" s="27" customFormat="1" ht="13.8" hidden="1">
      <c r="A325" s="89"/>
      <c r="B325" s="89"/>
      <c r="C325" s="89"/>
      <c r="D325" s="89"/>
      <c r="E325" s="89"/>
      <c r="F325" s="89"/>
      <c r="G325" s="89"/>
      <c r="H325" s="29"/>
      <c r="I325" s="29"/>
      <c r="J325" s="29"/>
      <c r="K325" s="29"/>
      <c r="L325" s="29"/>
      <c r="M325" s="29"/>
      <c r="N325" s="29"/>
      <c r="O325" s="178"/>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77"/>
      <c r="AM325" s="77"/>
      <c r="AN325" s="77"/>
      <c r="AO325" s="62"/>
      <c r="AP325" s="62"/>
      <c r="AQ325" s="62"/>
      <c r="AR325" s="62"/>
      <c r="AS325" s="62"/>
      <c r="AT325" s="62"/>
      <c r="AU325" s="62"/>
      <c r="AV325" s="62"/>
      <c r="AW325" s="62"/>
      <c r="AX325" s="62"/>
      <c r="AY325" s="62"/>
    </row>
    <row r="326" spans="1:51" s="27" customFormat="1" ht="13.8" hidden="1">
      <c r="A326" s="89"/>
      <c r="B326" s="89"/>
      <c r="C326" s="89"/>
      <c r="D326" s="89"/>
      <c r="E326" s="89"/>
      <c r="F326" s="89"/>
      <c r="G326" s="89"/>
      <c r="H326" s="29"/>
      <c r="I326" s="29"/>
      <c r="J326" s="29"/>
      <c r="K326" s="29"/>
      <c r="L326" s="29"/>
      <c r="M326" s="29"/>
      <c r="N326" s="29"/>
      <c r="O326" s="178"/>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62"/>
      <c r="AP326" s="62"/>
      <c r="AQ326" s="62"/>
      <c r="AR326" s="62"/>
      <c r="AS326" s="62"/>
      <c r="AT326" s="62"/>
      <c r="AU326" s="62"/>
      <c r="AV326" s="62"/>
      <c r="AW326" s="62"/>
      <c r="AX326" s="62"/>
      <c r="AY326" s="62"/>
    </row>
    <row r="327" spans="1:51" s="27" customFormat="1" ht="13.8" hidden="1">
      <c r="A327" s="89"/>
      <c r="B327" s="89"/>
      <c r="C327" s="89"/>
      <c r="D327" s="89"/>
      <c r="E327" s="89"/>
      <c r="F327" s="89"/>
      <c r="G327" s="89"/>
      <c r="H327" s="29"/>
      <c r="I327" s="29"/>
      <c r="J327" s="29"/>
      <c r="K327" s="29"/>
      <c r="L327" s="29"/>
      <c r="M327" s="29"/>
      <c r="N327" s="29"/>
      <c r="O327" s="178"/>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62"/>
      <c r="AP327" s="62"/>
      <c r="AQ327" s="62"/>
      <c r="AR327" s="62"/>
      <c r="AS327" s="62"/>
      <c r="AT327" s="62"/>
      <c r="AU327" s="62"/>
      <c r="AV327" s="62"/>
      <c r="AW327" s="62"/>
      <c r="AX327" s="62"/>
      <c r="AY327" s="62"/>
    </row>
    <row r="328" spans="1:51" s="27" customFormat="1" ht="13.8" hidden="1">
      <c r="A328" s="89"/>
      <c r="B328" s="89"/>
      <c r="C328" s="89"/>
      <c r="D328" s="89"/>
      <c r="E328" s="89"/>
      <c r="F328" s="89"/>
      <c r="G328" s="89"/>
      <c r="H328" s="29"/>
      <c r="I328" s="29"/>
      <c r="J328" s="29"/>
      <c r="K328" s="29"/>
      <c r="L328" s="29"/>
      <c r="M328" s="29"/>
      <c r="N328" s="29"/>
      <c r="O328" s="178"/>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62"/>
      <c r="AP328" s="62"/>
      <c r="AQ328" s="62"/>
      <c r="AR328" s="62"/>
      <c r="AS328" s="62"/>
      <c r="AT328" s="62"/>
      <c r="AU328" s="62"/>
      <c r="AV328" s="62"/>
      <c r="AW328" s="62"/>
      <c r="AX328" s="62"/>
      <c r="AY328" s="62"/>
    </row>
    <row r="329" spans="1:51" s="27" customFormat="1" ht="13.8">
      <c r="A329" s="89"/>
      <c r="B329" s="89"/>
      <c r="C329" s="89"/>
      <c r="D329" s="89"/>
      <c r="E329" s="89"/>
      <c r="F329" s="89"/>
      <c r="G329" s="89"/>
      <c r="H329" s="29"/>
      <c r="I329" s="29"/>
      <c r="J329" s="29"/>
      <c r="K329" s="29"/>
      <c r="L329" s="29"/>
      <c r="M329" s="29"/>
      <c r="N329" s="29"/>
      <c r="O329" s="178"/>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62"/>
      <c r="AP329" s="62"/>
      <c r="AQ329" s="62"/>
      <c r="AR329" s="62"/>
      <c r="AS329" s="62"/>
      <c r="AT329" s="62"/>
      <c r="AU329" s="62"/>
      <c r="AV329" s="62"/>
      <c r="AW329" s="62"/>
      <c r="AX329" s="62"/>
      <c r="AY329" s="62"/>
    </row>
    <row r="330" spans="1:51" s="27" customFormat="1" ht="13.8">
      <c r="A330" s="89"/>
      <c r="B330" s="89"/>
      <c r="C330" s="89"/>
      <c r="D330" s="89"/>
      <c r="E330" s="89"/>
      <c r="F330" s="89"/>
      <c r="G330" s="89"/>
      <c r="H330" s="29"/>
      <c r="I330" s="29"/>
      <c r="J330" s="29"/>
      <c r="K330" s="29"/>
      <c r="L330" s="29"/>
      <c r="M330" s="29"/>
      <c r="N330" s="29"/>
      <c r="O330" s="178"/>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62"/>
      <c r="AP330" s="62"/>
      <c r="AQ330" s="62"/>
      <c r="AR330" s="62"/>
      <c r="AS330" s="62"/>
      <c r="AT330" s="62"/>
      <c r="AU330" s="62"/>
      <c r="AV330" s="62"/>
      <c r="AW330" s="62"/>
      <c r="AX330" s="62"/>
      <c r="AY330" s="62"/>
    </row>
    <row r="331" spans="1:51" s="27" customFormat="1" ht="13.8">
      <c r="A331" s="404" t="s">
        <v>68</v>
      </c>
      <c r="B331" s="405"/>
      <c r="C331" s="405"/>
      <c r="D331" s="405"/>
      <c r="E331" s="405"/>
      <c r="F331" s="406"/>
      <c r="G331" s="89"/>
      <c r="H331" s="29"/>
      <c r="I331" s="29"/>
      <c r="J331" s="29"/>
      <c r="K331" s="29"/>
      <c r="L331" s="29"/>
      <c r="M331" s="29"/>
      <c r="N331" s="29"/>
      <c r="O331" s="178"/>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62"/>
      <c r="AP331" s="62"/>
      <c r="AQ331" s="62"/>
      <c r="AR331" s="62"/>
      <c r="AS331" s="62"/>
      <c r="AT331" s="62"/>
      <c r="AU331" s="62"/>
      <c r="AV331" s="62"/>
      <c r="AW331" s="62"/>
      <c r="AX331" s="62"/>
      <c r="AY331" s="62"/>
    </row>
    <row r="332" spans="1:51" s="27" customFormat="1" ht="13.8">
      <c r="A332" s="90" t="s">
        <v>30</v>
      </c>
      <c r="B332" s="407" t="s">
        <v>23</v>
      </c>
      <c r="C332" s="408"/>
      <c r="D332" s="407" t="s">
        <v>33</v>
      </c>
      <c r="E332" s="408"/>
      <c r="F332" s="91" t="s">
        <v>22</v>
      </c>
      <c r="G332" s="89"/>
      <c r="H332" s="29"/>
      <c r="I332" s="29"/>
      <c r="J332" s="29"/>
      <c r="K332" s="29"/>
      <c r="L332" s="29"/>
      <c r="M332" s="29"/>
      <c r="N332" s="29"/>
      <c r="O332" s="178"/>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62"/>
      <c r="AP332" s="62"/>
      <c r="AQ332" s="62"/>
      <c r="AR332" s="62"/>
      <c r="AS332" s="62"/>
      <c r="AT332" s="62"/>
      <c r="AU332" s="62"/>
      <c r="AV332" s="62"/>
      <c r="AW332" s="62"/>
      <c r="AX332" s="62"/>
      <c r="AY332" s="62"/>
    </row>
    <row r="333" spans="1:51" s="27" customFormat="1" ht="13.8">
      <c r="A333" s="92">
        <v>1</v>
      </c>
      <c r="B333" s="93">
        <v>2</v>
      </c>
      <c r="C333" s="93">
        <v>3</v>
      </c>
      <c r="D333" s="93">
        <v>4</v>
      </c>
      <c r="E333" s="92">
        <v>5</v>
      </c>
      <c r="F333" s="93">
        <v>6</v>
      </c>
      <c r="G333" s="89"/>
      <c r="H333" s="29"/>
      <c r="I333" s="29"/>
      <c r="J333" s="29"/>
      <c r="K333" s="29"/>
      <c r="L333" s="29"/>
      <c r="M333" s="29"/>
      <c r="N333" s="29"/>
      <c r="O333" s="178"/>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62"/>
      <c r="AP333" s="62"/>
      <c r="AQ333" s="62"/>
      <c r="AR333" s="62"/>
      <c r="AS333" s="62"/>
      <c r="AT333" s="62"/>
      <c r="AU333" s="62"/>
      <c r="AV333" s="62"/>
      <c r="AW333" s="62"/>
      <c r="AX333" s="62"/>
      <c r="AY333" s="62"/>
    </row>
    <row r="334" spans="1:51" s="27" customFormat="1" ht="13.8">
      <c r="A334" s="94"/>
      <c r="B334" s="93" t="s">
        <v>51</v>
      </c>
      <c r="C334" s="93" t="s">
        <v>31</v>
      </c>
      <c r="D334" s="93" t="s">
        <v>51</v>
      </c>
      <c r="E334" s="93" t="s">
        <v>31</v>
      </c>
      <c r="F334" s="92" t="s">
        <v>31</v>
      </c>
      <c r="G334" s="89"/>
      <c r="H334" s="29"/>
      <c r="I334" s="29"/>
      <c r="J334" s="29"/>
      <c r="K334" s="29"/>
      <c r="L334" s="29"/>
      <c r="M334" s="29"/>
      <c r="N334" s="29"/>
      <c r="O334" s="178"/>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77"/>
      <c r="AM334" s="77"/>
      <c r="AN334" s="77"/>
      <c r="AO334" s="62"/>
      <c r="AP334" s="62"/>
      <c r="AQ334" s="62"/>
      <c r="AR334" s="62"/>
      <c r="AS334" s="62"/>
      <c r="AT334" s="62"/>
      <c r="AU334" s="62"/>
      <c r="AV334" s="62"/>
      <c r="AW334" s="62"/>
      <c r="AX334" s="62"/>
      <c r="AY334" s="62"/>
    </row>
    <row r="335" spans="1:51" s="27" customFormat="1" ht="13.8">
      <c r="A335" s="95"/>
      <c r="B335" s="90">
        <v>2025</v>
      </c>
      <c r="C335" s="90">
        <v>2026</v>
      </c>
      <c r="D335" s="90" t="s">
        <v>187</v>
      </c>
      <c r="E335" s="90" t="s">
        <v>220</v>
      </c>
      <c r="F335" s="96"/>
      <c r="G335" s="89"/>
      <c r="H335" s="29"/>
      <c r="I335" s="29"/>
      <c r="J335" s="29"/>
      <c r="K335" s="29"/>
      <c r="L335" s="29"/>
      <c r="M335" s="29"/>
      <c r="N335" s="29"/>
      <c r="O335" s="178"/>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62"/>
      <c r="AP335" s="62"/>
      <c r="AQ335" s="62"/>
      <c r="AR335" s="62"/>
      <c r="AS335" s="62"/>
      <c r="AT335" s="62"/>
      <c r="AU335" s="62"/>
      <c r="AV335" s="62"/>
      <c r="AW335" s="62"/>
      <c r="AX335" s="62"/>
      <c r="AY335" s="62"/>
    </row>
    <row r="336" spans="1:51" s="27" customFormat="1" ht="13.8">
      <c r="A336" s="97" t="s">
        <v>156</v>
      </c>
      <c r="B336" s="99">
        <f ca="1">IF(INDIRECT(ADDRESS(ROW('1'!AK$38),COLUMN('1'!AA10)+ROW(A2)+$B$15,1,1,"1"))="","",INDIRECT(ADDRESS(ROW('1'!AK$38),COLUMN('1'!AA10)+ROW(A1)+$B$15,1,1,"1")))</f>
        <v>69077.213999999978</v>
      </c>
      <c r="C336" s="99">
        <f ca="1">IF(INDIRECT(ADDRESS(ROW('1'!AK$38),COLUMN('1'!AA10)+ROW(A2)+$C$15,1,1,"1"))="","",INDIRECT(ADDRESS(ROW('1'!AK$38),COLUMN('1'!AA10)+ROW(A1)+$C$15,1,1,"1")))</f>
        <v>51011.107999999949</v>
      </c>
      <c r="D336" s="99">
        <f>'1'!$DA$38*ROW(A1)/12</f>
        <v>833.32687776722014</v>
      </c>
      <c r="E336" s="99">
        <f>'1'!$DI$38*ROW(A1)/12</f>
        <v>5651.7659008600358</v>
      </c>
      <c r="F336" s="99">
        <f ca="1">IFERROR(C336-E336,"")</f>
        <v>45359.342099139911</v>
      </c>
      <c r="G336" s="89"/>
      <c r="H336" s="29"/>
      <c r="I336" s="29"/>
      <c r="J336" s="29"/>
      <c r="K336" s="29"/>
      <c r="L336" s="29"/>
      <c r="M336" s="29"/>
      <c r="N336" s="29"/>
      <c r="O336" s="178"/>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62"/>
      <c r="AP336" s="62"/>
      <c r="AQ336" s="62"/>
      <c r="AR336" s="62"/>
      <c r="AS336" s="62"/>
      <c r="AT336" s="62"/>
      <c r="AU336" s="62"/>
      <c r="AV336" s="62"/>
      <c r="AW336" s="62"/>
      <c r="AX336" s="62"/>
      <c r="AY336" s="62"/>
    </row>
    <row r="337" spans="1:51" s="27" customFormat="1" ht="13.8">
      <c r="A337" s="97" t="s">
        <v>157</v>
      </c>
      <c r="B337" s="99">
        <f ca="1">IF(INDIRECT(ADDRESS(ROW('1'!AK$38),COLUMN('1'!AA11)+ROW(A3)+$B$15,1,1,"1"))="","",INDIRECT(ADDRESS(ROW('1'!AK$38),COLUMN('1'!AA11)+ROW(A2)+$B$15,1,1,"1")))</f>
        <v>104693.23099999991</v>
      </c>
      <c r="C337" s="99">
        <f ca="1">IF(INDIRECT(ADDRESS(ROW('1'!AK$38),COLUMN('1'!AA11)+ROW(A3)+$C$15,1,1,"1"))="","",INDIRECT(ADDRESS(ROW('1'!AK$38),COLUMN('1'!AA11)+ROW(A2)+$C$15,1,1,"1")))</f>
        <v>97658</v>
      </c>
      <c r="D337" s="99">
        <f>'1'!$DA$38*ROW(A2)/12</f>
        <v>1666.6537555344403</v>
      </c>
      <c r="E337" s="99">
        <f>'1'!$DI$38*ROW(A2)/12</f>
        <v>11303.531801720072</v>
      </c>
      <c r="F337" s="99">
        <f t="shared" ref="F337:F347" ca="1" si="52">IFERROR(C337-E337,"")</f>
        <v>86354.468198279923</v>
      </c>
      <c r="G337" s="89"/>
      <c r="H337" s="29"/>
      <c r="I337" s="29"/>
      <c r="J337" s="29"/>
      <c r="K337" s="29"/>
      <c r="L337" s="29"/>
      <c r="M337" s="29"/>
      <c r="N337" s="29"/>
      <c r="O337" s="178"/>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62"/>
      <c r="AP337" s="62"/>
      <c r="AQ337" s="62"/>
      <c r="AR337" s="62"/>
      <c r="AS337" s="62"/>
      <c r="AT337" s="62"/>
      <c r="AU337" s="62"/>
      <c r="AV337" s="62"/>
      <c r="AW337" s="62"/>
      <c r="AX337" s="62"/>
      <c r="AY337" s="62"/>
    </row>
    <row r="338" spans="1:51" s="27" customFormat="1" ht="13.8">
      <c r="A338" s="97" t="s">
        <v>158</v>
      </c>
      <c r="B338" s="99">
        <f ca="1">IF(INDIRECT(ADDRESS(ROW('1'!AK$38),COLUMN('1'!AA12)+ROW(A4)+$B$15,1,1,"1"))="","",INDIRECT(ADDRESS(ROW('1'!AK$38),COLUMN('1'!AA12)+ROW(A3)+$B$15,1,1,"1")))</f>
        <v>134249.902</v>
      </c>
      <c r="C338" s="99">
        <f ca="1">IF(INDIRECT(ADDRESS(ROW('1'!AK$38),COLUMN('1'!AA12)+ROW(A4)+$C$15,1,1,"1"))="","",INDIRECT(ADDRESS(ROW('1'!AK$38),COLUMN('1'!AA12)+ROW(A3)+$C$15,1,1,"1")))</f>
        <v>113691.67500000005</v>
      </c>
      <c r="D338" s="99">
        <f>'1'!$DA$38*ROW(A3)/12</f>
        <v>2499.9806333016604</v>
      </c>
      <c r="E338" s="99">
        <f>'1'!$DI$38*ROW(A3)/12</f>
        <v>16955.297702580108</v>
      </c>
      <c r="F338" s="99">
        <f t="shared" ca="1" si="52"/>
        <v>96736.377297419938</v>
      </c>
      <c r="G338" s="89"/>
      <c r="H338" s="29"/>
      <c r="I338" s="29"/>
      <c r="J338" s="29"/>
      <c r="K338" s="29"/>
      <c r="L338" s="29"/>
      <c r="M338" s="29"/>
      <c r="N338" s="29"/>
      <c r="O338" s="178"/>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62"/>
      <c r="AP338" s="62"/>
      <c r="AQ338" s="62"/>
      <c r="AR338" s="62"/>
      <c r="AS338" s="62"/>
      <c r="AT338" s="62"/>
      <c r="AU338" s="62"/>
      <c r="AV338" s="62"/>
      <c r="AW338" s="62"/>
      <c r="AX338" s="62"/>
      <c r="AY338" s="62"/>
    </row>
    <row r="339" spans="1:51" s="27" customFormat="1" ht="13.8">
      <c r="A339" s="97" t="s">
        <v>159</v>
      </c>
      <c r="B339" s="99">
        <f ca="1">IF(INDIRECT(ADDRESS(ROW('1'!AK$38),COLUMN('1'!AA13)+ROW(A5)+$B$15,1,1,"1"))="","",INDIRECT(ADDRESS(ROW('1'!AK$38),COLUMN('1'!AA13)+ROW(A4)+$B$15,1,1,"1")))</f>
        <v>118577.598</v>
      </c>
      <c r="C339" s="99">
        <f ca="1">IF(INDIRECT(ADDRESS(ROW('1'!AK$38),COLUMN('1'!AA13)+ROW(A5)+$C$15,1,1,"1"))="","",INDIRECT(ADDRESS(ROW('1'!AK$38),COLUMN('1'!AA13)+ROW(A4)+$C$15,1,1,"1")))</f>
        <v>111338.02799999993</v>
      </c>
      <c r="D339" s="99">
        <f>'1'!$DA$38*ROW(A4)/12</f>
        <v>3333.3075110688806</v>
      </c>
      <c r="E339" s="99">
        <f>'1'!$DI$38*ROW(A4)/12</f>
        <v>22607.063603440143</v>
      </c>
      <c r="F339" s="99">
        <f t="shared" ca="1" si="52"/>
        <v>88730.964396559793</v>
      </c>
      <c r="G339" s="89"/>
      <c r="H339" s="29"/>
      <c r="I339" s="29"/>
      <c r="J339" s="29"/>
      <c r="K339" s="29"/>
      <c r="L339" s="29"/>
      <c r="M339" s="29"/>
      <c r="N339" s="29"/>
      <c r="O339" s="178"/>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62"/>
      <c r="AP339" s="62"/>
      <c r="AQ339" s="62"/>
      <c r="AR339" s="62"/>
      <c r="AS339" s="62"/>
      <c r="AT339" s="62"/>
      <c r="AU339" s="62"/>
      <c r="AV339" s="62"/>
      <c r="AW339" s="62"/>
      <c r="AX339" s="62"/>
      <c r="AY339" s="62"/>
    </row>
    <row r="340" spans="1:51" s="27" customFormat="1" ht="13.8">
      <c r="A340" s="97" t="s">
        <v>160</v>
      </c>
      <c r="B340" s="99">
        <f ca="1">IF(INDIRECT(ADDRESS(ROW('1'!AK$38),COLUMN('1'!AA14)+ROW(A6)+$B$15,1,1,"1"))="","",INDIRECT(ADDRESS(ROW('1'!AK$38),COLUMN('1'!AA14)+ROW(A5)+$B$15,1,1,"1")))</f>
        <v>120767.31200000015</v>
      </c>
      <c r="C340" s="99">
        <f ca="1">IF(INDIRECT(ADDRESS(ROW('1'!AK$38),COLUMN('1'!AA14)+ROW(A6)+$C$15,1,1,"1"))="","",INDIRECT(ADDRESS(ROW('1'!AK$38),COLUMN('1'!AA14)+ROW(A5)+$C$15,1,1,"1")))</f>
        <v>121926.85299999989</v>
      </c>
      <c r="D340" s="99">
        <f>'1'!$DA$38*ROW(A5)/12</f>
        <v>4166.6343888361007</v>
      </c>
      <c r="E340" s="99">
        <f>'1'!$DI$38*ROW(A5)/12</f>
        <v>28258.829504300182</v>
      </c>
      <c r="F340" s="99">
        <f t="shared" ca="1" si="52"/>
        <v>93668.023495699701</v>
      </c>
      <c r="G340" s="89"/>
      <c r="H340" s="29"/>
      <c r="I340" s="29"/>
      <c r="J340" s="29"/>
      <c r="K340" s="29"/>
      <c r="L340" s="29"/>
      <c r="M340" s="29"/>
      <c r="N340" s="29"/>
      <c r="O340" s="178"/>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62"/>
      <c r="AP340" s="62"/>
      <c r="AQ340" s="62"/>
      <c r="AR340" s="62"/>
      <c r="AS340" s="62"/>
      <c r="AT340" s="62"/>
      <c r="AU340" s="62"/>
      <c r="AV340" s="62"/>
      <c r="AW340" s="62"/>
      <c r="AX340" s="62"/>
      <c r="AY340" s="62"/>
    </row>
    <row r="341" spans="1:51" s="27" customFormat="1" ht="13.8">
      <c r="A341" s="97" t="s">
        <v>161</v>
      </c>
      <c r="B341" s="99">
        <f ca="1">IF(INDIRECT(ADDRESS(ROW('1'!AK$38),COLUMN('1'!AA15)+ROW(A7)+$B$15,1,1,"1"))="","",INDIRECT(ADDRESS(ROW('1'!AK$38),COLUMN('1'!AA15)+ROW(A6)+$B$15,1,1,"1")))</f>
        <v>131428.27000000002</v>
      </c>
      <c r="C341" s="99">
        <f ca="1">IF(INDIRECT(ADDRESS(ROW('1'!AK$38),COLUMN('1'!AA15)+ROW(A7)+$C$15,1,1,"1"))="","",INDIRECT(ADDRESS(ROW('1'!AK$38),COLUMN('1'!AA15)+ROW(A6)+$C$15,1,1,"1")))</f>
        <v>111167.53399999975</v>
      </c>
      <c r="D341" s="99">
        <f>'1'!$DA$38*ROW(A6)/12</f>
        <v>4999.9612666033208</v>
      </c>
      <c r="E341" s="99">
        <f>'1'!$DI$38*ROW(A6)/12</f>
        <v>33910.595405160217</v>
      </c>
      <c r="F341" s="99">
        <f t="shared" ca="1" si="52"/>
        <v>77256.938594839536</v>
      </c>
      <c r="G341" s="89"/>
      <c r="H341" s="29"/>
      <c r="I341" s="29"/>
      <c r="J341" s="29"/>
      <c r="K341" s="29"/>
      <c r="L341" s="29"/>
      <c r="M341" s="29"/>
      <c r="N341" s="29"/>
      <c r="O341" s="178"/>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62"/>
      <c r="AP341" s="62"/>
      <c r="AQ341" s="62"/>
      <c r="AR341" s="62"/>
      <c r="AS341" s="62"/>
      <c r="AT341" s="62"/>
      <c r="AU341" s="62"/>
      <c r="AV341" s="62"/>
      <c r="AW341" s="62"/>
      <c r="AX341" s="62"/>
      <c r="AY341" s="62"/>
    </row>
    <row r="342" spans="1:51" s="27" customFormat="1" ht="13.8">
      <c r="A342" s="97" t="s">
        <v>162</v>
      </c>
      <c r="B342" s="99">
        <f ca="1">IF(INDIRECT(ADDRESS(ROW('1'!AK$38),COLUMN('1'!AA16)+ROW(A8)+$B$15,1,1,"1"))="","",INDIRECT(ADDRESS(ROW('1'!AK$38),COLUMN('1'!AA16)+ROW(A7)+$B$15,1,1,"1")))</f>
        <v>61633.138999999966</v>
      </c>
      <c r="C342" s="99">
        <f ca="1">IF(INDIRECT(ADDRESS(ROW('1'!AK$38),COLUMN('1'!AA16)+ROW(A8)+$C$15,1,1,"1"))="","",INDIRECT(ADDRESS(ROW('1'!AK$38),COLUMN('1'!AA16)+ROW(A7)+$C$15,1,1,"1")))</f>
        <v>42998.083000000101</v>
      </c>
      <c r="D342" s="99">
        <f>'1'!$DA$38*ROW(A7)/12</f>
        <v>5833.288144370541</v>
      </c>
      <c r="E342" s="99">
        <f>'1'!$DI$38*ROW(A7)/12</f>
        <v>39562.361306020255</v>
      </c>
      <c r="F342" s="99">
        <f t="shared" ca="1" si="52"/>
        <v>3435.7216939798454</v>
      </c>
      <c r="G342" s="89"/>
      <c r="H342" s="29"/>
      <c r="I342" s="29"/>
      <c r="J342" s="29"/>
      <c r="K342" s="29"/>
      <c r="L342" s="29"/>
      <c r="M342" s="29"/>
      <c r="N342" s="29"/>
      <c r="O342" s="178"/>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77"/>
      <c r="AM342" s="77"/>
      <c r="AN342" s="77"/>
      <c r="AO342" s="62"/>
      <c r="AP342" s="62"/>
      <c r="AQ342" s="62"/>
      <c r="AR342" s="62"/>
      <c r="AS342" s="62"/>
      <c r="AT342" s="62"/>
      <c r="AU342" s="62"/>
      <c r="AV342" s="62"/>
      <c r="AW342" s="62"/>
      <c r="AX342" s="62"/>
      <c r="AY342" s="62"/>
    </row>
    <row r="343" spans="1:51" s="27" customFormat="1" ht="13.8">
      <c r="A343" s="97" t="s">
        <v>163</v>
      </c>
      <c r="B343" s="99">
        <f ca="1">IF(INDIRECT(ADDRESS(ROW('1'!AK$38),COLUMN('1'!AA17)+ROW(A9)+$B$15,1,1,"1"))="","",INDIRECT(ADDRESS(ROW('1'!AK$38),COLUMN('1'!AA17)+ROW(A8)+$B$15,1,1,"1")))</f>
        <v>66090.015999999829</v>
      </c>
      <c r="C343" s="99" t="str">
        <f ca="1">IF(INDIRECT(ADDRESS(ROW('1'!AK$38),COLUMN('1'!AA17)+ROW(A9)+$C$15,1,1,"1"))="","",INDIRECT(ADDRESS(ROW('1'!AK$38),COLUMN('1'!AA17)+ROW(A8)+$C$15,1,1,"1")))</f>
        <v/>
      </c>
      <c r="D343" s="99">
        <f>'1'!$DA$38*ROW(A8)/12</f>
        <v>6666.6150221377611</v>
      </c>
      <c r="E343" s="99">
        <f>'1'!$DI$38*ROW(A8)/12</f>
        <v>45214.127206880286</v>
      </c>
      <c r="F343" s="99" t="str">
        <f t="shared" ca="1" si="52"/>
        <v/>
      </c>
      <c r="G343" s="89"/>
      <c r="H343" s="29"/>
      <c r="I343" s="29"/>
      <c r="J343" s="29"/>
      <c r="K343" s="29"/>
      <c r="L343" s="29"/>
      <c r="M343" s="29"/>
      <c r="N343" s="29"/>
      <c r="O343" s="178"/>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77"/>
      <c r="AM343" s="77"/>
      <c r="AN343" s="77"/>
      <c r="AO343" s="62"/>
      <c r="AP343" s="62"/>
      <c r="AQ343" s="62"/>
      <c r="AR343" s="62"/>
      <c r="AS343" s="62"/>
      <c r="AT343" s="62"/>
      <c r="AU343" s="62"/>
      <c r="AV343" s="62"/>
      <c r="AW343" s="62"/>
      <c r="AX343" s="62"/>
      <c r="AY343" s="62"/>
    </row>
    <row r="344" spans="1:51" s="27" customFormat="1" ht="13.8">
      <c r="A344" s="97" t="s">
        <v>164</v>
      </c>
      <c r="B344" s="99">
        <f ca="1">IF(INDIRECT(ADDRESS(ROW('1'!AK$38),COLUMN('1'!AA18)+ROW(A10)+$B$15,1,1,"1"))="","",INDIRECT(ADDRESS(ROW('1'!AK$38),COLUMN('1'!AA18)+ROW(A9)+$B$15,1,1,"1")))</f>
        <v>103447.31399999978</v>
      </c>
      <c r="C344" s="99" t="str">
        <f ca="1">IF(INDIRECT(ADDRESS(ROW('1'!AK$38),COLUMN('1'!AA18)+ROW(A10)+$C$15,1,1,"1"))="","",INDIRECT(ADDRESS(ROW('1'!AK$38),COLUMN('1'!AA18)+ROW(A9)+$C$15,1,1,"1")))</f>
        <v/>
      </c>
      <c r="D344" s="99">
        <f>'1'!$DA$38*ROW(A9)/12</f>
        <v>7499.9418999049813</v>
      </c>
      <c r="E344" s="99">
        <f>'1'!$DI$38*ROW(A9)/12</f>
        <v>50865.893107740325</v>
      </c>
      <c r="F344" s="99" t="str">
        <f t="shared" ca="1" si="52"/>
        <v/>
      </c>
      <c r="G344" s="89"/>
      <c r="H344" s="29"/>
      <c r="I344" s="29"/>
      <c r="J344" s="29"/>
      <c r="K344" s="29"/>
      <c r="L344" s="29"/>
      <c r="M344" s="29"/>
      <c r="N344" s="29"/>
      <c r="O344" s="178"/>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62"/>
      <c r="AP344" s="62"/>
      <c r="AQ344" s="62"/>
      <c r="AR344" s="62"/>
      <c r="AS344" s="62"/>
      <c r="AT344" s="62"/>
      <c r="AU344" s="62"/>
      <c r="AV344" s="62"/>
      <c r="AW344" s="62"/>
      <c r="AX344" s="62"/>
      <c r="AY344" s="62"/>
    </row>
    <row r="345" spans="1:51" s="27" customFormat="1" ht="13.8">
      <c r="A345" s="97" t="s">
        <v>165</v>
      </c>
      <c r="B345" s="99">
        <f ca="1">IF(INDIRECT(ADDRESS(ROW('1'!AK$38),COLUMN('1'!AA19)+ROW(A11)+$B$15,1,1,"1"))="","",INDIRECT(ADDRESS(ROW('1'!AK$38),COLUMN('1'!AA19)+ROW(A10)+$B$15,1,1,"1")))</f>
        <v>85270.404999999795</v>
      </c>
      <c r="C345" s="99" t="str">
        <f ca="1">IF(INDIRECT(ADDRESS(ROW('1'!AK$38),COLUMN('1'!AA19)+ROW(A11)+$C$15,1,1,"1"))="","",INDIRECT(ADDRESS(ROW('1'!AK$38),COLUMN('1'!AA19)+ROW(A10)+$C$15,1,1,"1")))</f>
        <v/>
      </c>
      <c r="D345" s="99">
        <f>'1'!$DA$38*ROW(A10)/12</f>
        <v>8333.2687776722014</v>
      </c>
      <c r="E345" s="99">
        <f>'1'!$DI$38*ROW(A10)/12</f>
        <v>56517.659008600363</v>
      </c>
      <c r="F345" s="99" t="str">
        <f t="shared" ca="1" si="52"/>
        <v/>
      </c>
      <c r="G345" s="89"/>
      <c r="H345" s="29"/>
      <c r="I345" s="29"/>
      <c r="J345" s="29"/>
      <c r="K345" s="29"/>
      <c r="L345" s="29"/>
      <c r="M345" s="29"/>
      <c r="N345" s="29"/>
      <c r="O345" s="178"/>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77"/>
      <c r="AM345" s="77"/>
      <c r="AN345" s="77"/>
      <c r="AO345" s="62"/>
      <c r="AP345" s="62"/>
      <c r="AQ345" s="62"/>
      <c r="AR345" s="62"/>
      <c r="AS345" s="62"/>
      <c r="AT345" s="62"/>
      <c r="AU345" s="62"/>
      <c r="AV345" s="62"/>
      <c r="AW345" s="62"/>
      <c r="AX345" s="62"/>
      <c r="AY345" s="62"/>
    </row>
    <row r="346" spans="1:51" s="27" customFormat="1" ht="13.8">
      <c r="A346" s="97" t="s">
        <v>166</v>
      </c>
      <c r="B346" s="99">
        <f ca="1">IF(INDIRECT(ADDRESS(ROW('1'!AK$38),COLUMN('1'!AA20)+ROW(A12)+$B$15,1,1,"1"))="","",INDIRECT(ADDRESS(ROW('1'!AK$38),COLUMN('1'!AA20)+ROW(A11)+$B$15,1,1,"1")))</f>
        <v>84315.290999999736</v>
      </c>
      <c r="C346" s="99" t="str">
        <f ca="1">IF(INDIRECT(ADDRESS(ROW('1'!AK$38),COLUMN('1'!AA20)+ROW(A12)+$C$15,1,1,"1"))="","",INDIRECT(ADDRESS(ROW('1'!AK$38),COLUMN('1'!AA20)+ROW(A11)+$C$15,1,1,"1")))</f>
        <v/>
      </c>
      <c r="D346" s="99">
        <f>'1'!$DA$38*ROW(A11)/12</f>
        <v>9166.5956554394215</v>
      </c>
      <c r="E346" s="99">
        <f>'1'!$DI$38*ROW(A11)/12</f>
        <v>62169.424909460395</v>
      </c>
      <c r="F346" s="99" t="str">
        <f t="shared" ca="1" si="52"/>
        <v/>
      </c>
      <c r="G346" s="89"/>
      <c r="H346" s="29"/>
      <c r="I346" s="29"/>
      <c r="J346" s="29"/>
      <c r="K346" s="29"/>
      <c r="L346" s="29"/>
      <c r="M346" s="29"/>
      <c r="N346" s="29"/>
      <c r="O346" s="178"/>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62"/>
      <c r="AP346" s="62"/>
      <c r="AQ346" s="62"/>
      <c r="AR346" s="62"/>
      <c r="AS346" s="62"/>
      <c r="AT346" s="62"/>
      <c r="AU346" s="62"/>
      <c r="AV346" s="62"/>
      <c r="AW346" s="62"/>
      <c r="AX346" s="62"/>
      <c r="AY346" s="62"/>
    </row>
    <row r="347" spans="1:51" s="27" customFormat="1" ht="13.8">
      <c r="A347" s="97" t="s">
        <v>167</v>
      </c>
      <c r="B347" s="99">
        <f ca="1">IF(INDIRECT(ADDRESS(ROW('1'!AK$38),COLUMN('1'!AA21)+ROW(A13)+$B$15,1,1,"1"))="","",INDIRECT(ADDRESS(ROW('1'!AK$38),COLUMN('1'!AA21)+ROW(A12)+$B$15,1,1,"1")))</f>
        <v>-47210.757999999914</v>
      </c>
      <c r="C347" s="99" t="str">
        <f ca="1">IF(INDIRECT(ADDRESS(ROW('1'!AK$38),COLUMN('1'!AA21)+ROW(A13)+$C$15,1,1,"1"))="","",INDIRECT(ADDRESS(ROW('1'!AK$38),COLUMN('1'!AA21)+ROW(A12)+$C$15,1,1,"1")))</f>
        <v/>
      </c>
      <c r="D347" s="99">
        <f>'1'!$DA$38*ROW(A12)/12</f>
        <v>9999.9225332066417</v>
      </c>
      <c r="E347" s="99">
        <f>'1'!$DI$38*ROW(A12)/12</f>
        <v>67821.190810320433</v>
      </c>
      <c r="F347" s="99" t="str">
        <f t="shared" ca="1" si="52"/>
        <v/>
      </c>
      <c r="G347" s="89"/>
      <c r="H347" s="29"/>
      <c r="I347" s="29"/>
      <c r="J347" s="29"/>
      <c r="K347" s="29"/>
      <c r="L347" s="29"/>
      <c r="M347" s="29"/>
      <c r="N347" s="29"/>
      <c r="O347" s="178"/>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62"/>
      <c r="AP347" s="62"/>
      <c r="AQ347" s="62"/>
      <c r="AR347" s="62"/>
      <c r="AS347" s="62"/>
      <c r="AT347" s="62"/>
      <c r="AU347" s="62"/>
      <c r="AV347" s="62"/>
      <c r="AW347" s="62"/>
      <c r="AX347" s="62"/>
      <c r="AY347" s="62"/>
    </row>
    <row r="348" spans="1:51" s="27" customFormat="1" ht="13.8">
      <c r="A348" s="89"/>
      <c r="B348" s="89"/>
      <c r="C348" s="89"/>
      <c r="D348" s="89"/>
      <c r="E348" s="89"/>
      <c r="F348" s="89"/>
      <c r="G348" s="122"/>
      <c r="H348" s="29"/>
      <c r="I348" s="29"/>
      <c r="J348" s="29"/>
      <c r="K348" s="29"/>
      <c r="L348" s="29"/>
      <c r="M348" s="29"/>
      <c r="N348" s="29"/>
      <c r="O348" s="178"/>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77"/>
      <c r="AM348" s="77"/>
      <c r="AN348" s="77"/>
      <c r="AO348" s="62"/>
      <c r="AP348" s="62"/>
      <c r="AQ348" s="62"/>
      <c r="AR348" s="62"/>
      <c r="AS348" s="62"/>
      <c r="AT348" s="62"/>
      <c r="AU348" s="62"/>
      <c r="AV348" s="62"/>
      <c r="AW348" s="62"/>
      <c r="AX348" s="62"/>
      <c r="AY348" s="62"/>
    </row>
    <row r="349" spans="1:51" s="27" customFormat="1" ht="13.8">
      <c r="A349" s="89"/>
      <c r="B349" s="89"/>
      <c r="C349" s="89"/>
      <c r="D349" s="89"/>
      <c r="E349" s="89"/>
      <c r="F349" s="89"/>
      <c r="G349" s="89"/>
      <c r="H349" s="29"/>
      <c r="I349" s="29"/>
      <c r="J349" s="29"/>
      <c r="K349" s="29"/>
      <c r="L349" s="29"/>
      <c r="M349" s="29"/>
      <c r="N349" s="29"/>
      <c r="O349" s="178"/>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62"/>
      <c r="AP349" s="62"/>
      <c r="AQ349" s="62"/>
      <c r="AR349" s="62"/>
      <c r="AS349" s="62"/>
      <c r="AT349" s="62"/>
      <c r="AU349" s="62"/>
      <c r="AV349" s="62"/>
      <c r="AW349" s="62"/>
      <c r="AX349" s="62"/>
      <c r="AY349" s="62"/>
    </row>
    <row r="350" spans="1:51" s="27" customFormat="1" ht="13.8">
      <c r="A350" s="89"/>
      <c r="B350" s="89"/>
      <c r="C350" s="89"/>
      <c r="D350" s="89"/>
      <c r="E350" s="89"/>
      <c r="F350" s="89"/>
      <c r="G350" s="89"/>
      <c r="H350" s="29"/>
      <c r="I350" s="29"/>
      <c r="J350" s="29"/>
      <c r="K350" s="29"/>
      <c r="L350" s="29"/>
      <c r="M350" s="29"/>
      <c r="N350" s="29"/>
      <c r="O350" s="178"/>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77"/>
      <c r="AM350" s="77"/>
      <c r="AN350" s="77"/>
      <c r="AO350" s="62"/>
      <c r="AP350" s="62"/>
      <c r="AQ350" s="62"/>
      <c r="AR350" s="62"/>
      <c r="AS350" s="62"/>
      <c r="AT350" s="62"/>
      <c r="AU350" s="62"/>
      <c r="AV350" s="62"/>
      <c r="AW350" s="62"/>
      <c r="AX350" s="62"/>
      <c r="AY350" s="62"/>
    </row>
    <row r="351" spans="1:51" s="27" customFormat="1" ht="13.8">
      <c r="A351" s="89"/>
      <c r="B351" s="89"/>
      <c r="C351" s="89"/>
      <c r="D351" s="89"/>
      <c r="E351" s="89"/>
      <c r="F351" s="89"/>
      <c r="G351" s="89"/>
      <c r="H351" s="29"/>
      <c r="I351" s="29"/>
      <c r="J351" s="29"/>
      <c r="K351" s="29"/>
      <c r="L351" s="29"/>
      <c r="M351" s="29"/>
      <c r="N351" s="29"/>
      <c r="O351" s="178"/>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62"/>
      <c r="AP351" s="62"/>
      <c r="AQ351" s="62"/>
      <c r="AR351" s="62"/>
      <c r="AS351" s="62"/>
      <c r="AT351" s="62"/>
      <c r="AU351" s="62"/>
      <c r="AV351" s="62"/>
      <c r="AW351" s="62"/>
      <c r="AX351" s="62"/>
      <c r="AY351" s="62"/>
    </row>
    <row r="352" spans="1:51" s="27" customFormat="1" ht="13.8">
      <c r="A352" s="89"/>
      <c r="B352" s="89"/>
      <c r="C352" s="89"/>
      <c r="D352" s="89"/>
      <c r="E352" s="89"/>
      <c r="F352" s="89"/>
      <c r="G352" s="89"/>
      <c r="H352" s="29"/>
      <c r="I352" s="29"/>
      <c r="J352" s="29"/>
      <c r="K352" s="29"/>
      <c r="L352" s="29"/>
      <c r="M352" s="29"/>
      <c r="N352" s="29"/>
      <c r="O352" s="178"/>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62"/>
      <c r="AP352" s="62"/>
      <c r="AQ352" s="62"/>
      <c r="AR352" s="62"/>
      <c r="AS352" s="62"/>
      <c r="AT352" s="62"/>
      <c r="AU352" s="62"/>
      <c r="AV352" s="62"/>
      <c r="AW352" s="62"/>
      <c r="AX352" s="62"/>
      <c r="AY352" s="62"/>
    </row>
    <row r="353" spans="1:51" s="27" customFormat="1" ht="13.8">
      <c r="A353" s="89"/>
      <c r="B353" s="89"/>
      <c r="C353" s="89"/>
      <c r="D353" s="89"/>
      <c r="E353" s="89"/>
      <c r="F353" s="89"/>
      <c r="G353" s="89"/>
      <c r="H353" s="29"/>
      <c r="I353" s="29"/>
      <c r="J353" s="29"/>
      <c r="K353" s="29"/>
      <c r="L353" s="29"/>
      <c r="M353" s="29"/>
      <c r="N353" s="29"/>
      <c r="O353" s="178"/>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77"/>
      <c r="AM353" s="77"/>
      <c r="AN353" s="77"/>
      <c r="AO353" s="62"/>
      <c r="AP353" s="62"/>
      <c r="AQ353" s="62"/>
      <c r="AR353" s="62"/>
      <c r="AS353" s="62"/>
      <c r="AT353" s="62"/>
      <c r="AU353" s="62"/>
      <c r="AV353" s="62"/>
      <c r="AW353" s="62"/>
      <c r="AX353" s="62"/>
      <c r="AY353" s="62"/>
    </row>
    <row r="354" spans="1:51" s="27" customFormat="1" ht="13.8">
      <c r="A354" s="89"/>
      <c r="B354" s="89"/>
      <c r="C354" s="89"/>
      <c r="D354" s="89"/>
      <c r="E354" s="89"/>
      <c r="F354" s="89"/>
      <c r="G354" s="89"/>
      <c r="H354" s="29"/>
      <c r="I354" s="29"/>
      <c r="J354" s="29"/>
      <c r="K354" s="29"/>
      <c r="L354" s="29"/>
      <c r="M354" s="29"/>
      <c r="N354" s="29"/>
      <c r="O354" s="178"/>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77"/>
      <c r="AM354" s="77"/>
      <c r="AN354" s="77"/>
      <c r="AO354" s="62"/>
      <c r="AP354" s="62"/>
      <c r="AQ354" s="62"/>
      <c r="AR354" s="62"/>
      <c r="AS354" s="62"/>
      <c r="AT354" s="62"/>
      <c r="AU354" s="62"/>
      <c r="AV354" s="62"/>
      <c r="AW354" s="62"/>
      <c r="AX354" s="62"/>
      <c r="AY354" s="62"/>
    </row>
    <row r="355" spans="1:51" s="27" customFormat="1" ht="13.8">
      <c r="A355" s="89"/>
      <c r="B355" s="89"/>
      <c r="C355" s="89"/>
      <c r="D355" s="89"/>
      <c r="E355" s="89"/>
      <c r="F355" s="89"/>
      <c r="G355" s="89"/>
      <c r="H355" s="29"/>
      <c r="I355" s="29"/>
      <c r="J355" s="29"/>
      <c r="K355" s="29"/>
      <c r="L355" s="29"/>
      <c r="M355" s="29"/>
      <c r="N355" s="29"/>
      <c r="O355" s="178"/>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77"/>
      <c r="AM355" s="77"/>
      <c r="AN355" s="77"/>
      <c r="AO355" s="62"/>
      <c r="AP355" s="62"/>
      <c r="AQ355" s="62"/>
      <c r="AR355" s="62"/>
      <c r="AS355" s="62"/>
      <c r="AT355" s="62"/>
      <c r="AU355" s="62"/>
      <c r="AV355" s="62"/>
      <c r="AW355" s="62"/>
      <c r="AX355" s="62"/>
      <c r="AY355" s="62"/>
    </row>
    <row r="356" spans="1:51" s="27" customFormat="1" ht="13.8">
      <c r="A356" s="89"/>
      <c r="B356" s="89"/>
      <c r="C356" s="89"/>
      <c r="D356" s="89"/>
      <c r="E356" s="89"/>
      <c r="F356" s="89"/>
      <c r="G356" s="89"/>
      <c r="H356" s="29"/>
      <c r="I356" s="29"/>
      <c r="J356" s="29"/>
      <c r="K356" s="29"/>
      <c r="L356" s="29"/>
      <c r="M356" s="29"/>
      <c r="N356" s="29"/>
      <c r="O356" s="178"/>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77"/>
      <c r="AM356" s="77"/>
      <c r="AN356" s="77"/>
      <c r="AO356" s="62"/>
      <c r="AP356" s="62"/>
      <c r="AQ356" s="62"/>
      <c r="AR356" s="62"/>
      <c r="AS356" s="62"/>
      <c r="AT356" s="62"/>
      <c r="AU356" s="62"/>
      <c r="AV356" s="62"/>
      <c r="AW356" s="62"/>
      <c r="AX356" s="62"/>
      <c r="AY356" s="62"/>
    </row>
    <row r="357" spans="1:51" s="27" customFormat="1" ht="13.8">
      <c r="A357" s="89"/>
      <c r="B357" s="89"/>
      <c r="C357" s="89"/>
      <c r="D357" s="89"/>
      <c r="E357" s="89"/>
      <c r="F357" s="89"/>
      <c r="G357" s="89"/>
      <c r="H357" s="29"/>
      <c r="I357" s="29"/>
      <c r="J357" s="29"/>
      <c r="K357" s="29"/>
      <c r="L357" s="29"/>
      <c r="M357" s="29"/>
      <c r="N357" s="29"/>
      <c r="O357" s="178"/>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77"/>
      <c r="AM357" s="77"/>
      <c r="AN357" s="77"/>
      <c r="AO357" s="62"/>
      <c r="AP357" s="62"/>
      <c r="AQ357" s="62"/>
      <c r="AR357" s="62"/>
      <c r="AS357" s="62"/>
      <c r="AT357" s="62"/>
      <c r="AU357" s="62"/>
      <c r="AV357" s="62"/>
      <c r="AW357" s="62"/>
      <c r="AX357" s="62"/>
      <c r="AY357" s="62"/>
    </row>
    <row r="358" spans="1:51" s="27" customFormat="1" ht="13.8">
      <c r="A358" s="89"/>
      <c r="B358" s="89"/>
      <c r="C358" s="89"/>
      <c r="D358" s="89"/>
      <c r="E358" s="89"/>
      <c r="F358" s="89"/>
      <c r="G358" s="89"/>
      <c r="H358" s="29"/>
      <c r="I358" s="29"/>
      <c r="J358" s="29"/>
      <c r="K358" s="29"/>
      <c r="L358" s="29"/>
      <c r="M358" s="29"/>
      <c r="N358" s="29"/>
      <c r="O358" s="178"/>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77"/>
      <c r="AM358" s="77"/>
      <c r="AN358" s="77"/>
      <c r="AO358" s="62"/>
      <c r="AP358" s="62"/>
      <c r="AQ358" s="62"/>
      <c r="AR358" s="62"/>
      <c r="AS358" s="62"/>
      <c r="AT358" s="62"/>
      <c r="AU358" s="62"/>
      <c r="AV358" s="62"/>
      <c r="AW358" s="62"/>
      <c r="AX358" s="62"/>
      <c r="AY358" s="62"/>
    </row>
    <row r="359" spans="1:51" s="27" customFormat="1" ht="13.8">
      <c r="A359" s="89"/>
      <c r="B359" s="89"/>
      <c r="C359" s="89"/>
      <c r="D359" s="89"/>
      <c r="E359" s="89"/>
      <c r="F359" s="89"/>
      <c r="G359" s="89"/>
      <c r="H359" s="29"/>
      <c r="I359" s="29"/>
      <c r="J359" s="29"/>
      <c r="K359" s="29"/>
      <c r="L359" s="29"/>
      <c r="M359" s="29"/>
      <c r="N359" s="29"/>
      <c r="O359" s="178"/>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77"/>
      <c r="AM359" s="77"/>
      <c r="AN359" s="77"/>
      <c r="AO359" s="62"/>
      <c r="AP359" s="62"/>
      <c r="AQ359" s="62"/>
      <c r="AR359" s="62"/>
      <c r="AS359" s="62"/>
      <c r="AT359" s="62"/>
      <c r="AU359" s="62"/>
      <c r="AV359" s="62"/>
      <c r="AW359" s="62"/>
      <c r="AX359" s="62"/>
      <c r="AY359" s="62"/>
    </row>
    <row r="360" spans="1:51" s="27" customFormat="1" ht="13.8">
      <c r="A360" s="89"/>
      <c r="B360" s="89"/>
      <c r="C360" s="89"/>
      <c r="D360" s="89"/>
      <c r="E360" s="89"/>
      <c r="F360" s="89"/>
      <c r="G360" s="89"/>
      <c r="H360" s="29"/>
      <c r="I360" s="29"/>
      <c r="J360" s="29"/>
      <c r="K360" s="29"/>
      <c r="L360" s="29"/>
      <c r="M360" s="29"/>
      <c r="N360" s="29"/>
      <c r="O360" s="178"/>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77"/>
      <c r="AM360" s="77"/>
      <c r="AN360" s="77"/>
      <c r="AO360" s="62"/>
      <c r="AP360" s="62"/>
      <c r="AQ360" s="62"/>
      <c r="AR360" s="62"/>
      <c r="AS360" s="62"/>
      <c r="AT360" s="62"/>
      <c r="AU360" s="62"/>
      <c r="AV360" s="62"/>
      <c r="AW360" s="62"/>
      <c r="AX360" s="62"/>
      <c r="AY360" s="62"/>
    </row>
    <row r="361" spans="1:51" s="27" customFormat="1" ht="13.8">
      <c r="A361" s="89"/>
      <c r="B361" s="89"/>
      <c r="C361" s="89"/>
      <c r="D361" s="89"/>
      <c r="E361" s="89"/>
      <c r="F361" s="89"/>
      <c r="G361" s="89"/>
      <c r="H361" s="29"/>
      <c r="I361" s="29"/>
      <c r="J361" s="29"/>
      <c r="K361" s="29"/>
      <c r="L361" s="29"/>
      <c r="M361" s="29"/>
      <c r="N361" s="29"/>
      <c r="O361" s="178"/>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77"/>
      <c r="AM361" s="77"/>
      <c r="AN361" s="77"/>
      <c r="AO361" s="62"/>
      <c r="AP361" s="62"/>
      <c r="AQ361" s="62"/>
      <c r="AR361" s="62"/>
      <c r="AS361" s="62"/>
      <c r="AT361" s="62"/>
      <c r="AU361" s="62"/>
      <c r="AV361" s="62"/>
      <c r="AW361" s="62"/>
      <c r="AX361" s="62"/>
      <c r="AY361" s="62"/>
    </row>
    <row r="362" spans="1:51" s="27" customFormat="1" ht="13.8">
      <c r="A362" s="89"/>
      <c r="B362" s="89"/>
      <c r="C362" s="89"/>
      <c r="D362" s="89"/>
      <c r="E362" s="89"/>
      <c r="F362" s="89"/>
      <c r="G362" s="89"/>
      <c r="H362" s="29"/>
      <c r="I362" s="29"/>
      <c r="J362" s="29"/>
      <c r="K362" s="29"/>
      <c r="L362" s="29"/>
      <c r="M362" s="29"/>
      <c r="N362" s="29"/>
      <c r="O362" s="178"/>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77"/>
      <c r="AM362" s="77"/>
      <c r="AN362" s="77"/>
      <c r="AO362" s="62"/>
      <c r="AP362" s="62"/>
      <c r="AQ362" s="62"/>
      <c r="AR362" s="62"/>
      <c r="AS362" s="62"/>
      <c r="AT362" s="62"/>
      <c r="AU362" s="62"/>
      <c r="AV362" s="62"/>
      <c r="AW362" s="62"/>
      <c r="AX362" s="62"/>
      <c r="AY362" s="62"/>
    </row>
    <row r="363" spans="1:51" s="27" customFormat="1" ht="13.8">
      <c r="A363" s="89"/>
      <c r="B363" s="89"/>
      <c r="C363" s="89"/>
      <c r="D363" s="89"/>
      <c r="E363" s="89"/>
      <c r="F363" s="89"/>
      <c r="G363" s="89"/>
      <c r="H363" s="29"/>
      <c r="I363" s="29"/>
      <c r="J363" s="29"/>
      <c r="K363" s="29"/>
      <c r="L363" s="29"/>
      <c r="M363" s="29"/>
      <c r="N363" s="29"/>
      <c r="O363" s="178"/>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62"/>
      <c r="AP363" s="62"/>
      <c r="AQ363" s="62"/>
      <c r="AR363" s="62"/>
      <c r="AS363" s="62"/>
      <c r="AT363" s="62"/>
      <c r="AU363" s="62"/>
      <c r="AV363" s="62"/>
      <c r="AW363" s="62"/>
      <c r="AX363" s="62"/>
      <c r="AY363" s="62"/>
    </row>
    <row r="364" spans="1:51" s="27" customFormat="1" ht="13.8">
      <c r="A364" s="89"/>
      <c r="B364" s="89"/>
      <c r="C364" s="89"/>
      <c r="D364" s="89"/>
      <c r="E364" s="89"/>
      <c r="F364" s="89"/>
      <c r="G364" s="89"/>
      <c r="H364" s="29"/>
      <c r="I364" s="29"/>
      <c r="J364" s="29"/>
      <c r="K364" s="29"/>
      <c r="L364" s="29"/>
      <c r="M364" s="29"/>
      <c r="N364" s="29"/>
      <c r="O364" s="178"/>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77"/>
      <c r="AM364" s="77"/>
      <c r="AN364" s="77"/>
      <c r="AO364" s="62"/>
      <c r="AP364" s="62"/>
      <c r="AQ364" s="62"/>
      <c r="AR364" s="62"/>
      <c r="AS364" s="62"/>
      <c r="AT364" s="62"/>
      <c r="AU364" s="62"/>
      <c r="AV364" s="62"/>
      <c r="AW364" s="62"/>
      <c r="AX364" s="62"/>
      <c r="AY364" s="62"/>
    </row>
    <row r="365" spans="1:51" s="27" customFormat="1" ht="13.8">
      <c r="A365" s="89"/>
      <c r="B365" s="89"/>
      <c r="C365" s="89"/>
      <c r="D365" s="89"/>
      <c r="E365" s="89"/>
      <c r="F365" s="89"/>
      <c r="G365" s="89"/>
      <c r="H365" s="29"/>
      <c r="I365" s="29"/>
      <c r="J365" s="29"/>
      <c r="K365" s="29"/>
      <c r="L365" s="29"/>
      <c r="M365" s="29"/>
      <c r="N365" s="29"/>
      <c r="O365" s="178"/>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77"/>
      <c r="AM365" s="77"/>
      <c r="AN365" s="77"/>
      <c r="AO365" s="62"/>
      <c r="AP365" s="62"/>
      <c r="AQ365" s="62"/>
      <c r="AR365" s="62"/>
      <c r="AS365" s="62"/>
      <c r="AT365" s="62"/>
      <c r="AU365" s="62"/>
      <c r="AV365" s="62"/>
      <c r="AW365" s="62"/>
      <c r="AX365" s="62"/>
      <c r="AY365" s="62"/>
    </row>
    <row r="366" spans="1:51" s="27" customFormat="1" ht="13.8">
      <c r="A366" s="89"/>
      <c r="B366" s="89"/>
      <c r="C366" s="89"/>
      <c r="D366" s="89"/>
      <c r="E366" s="89"/>
      <c r="F366" s="89"/>
      <c r="G366" s="89"/>
      <c r="H366" s="29"/>
      <c r="I366" s="29"/>
      <c r="J366" s="29"/>
      <c r="K366" s="29"/>
      <c r="L366" s="29"/>
      <c r="M366" s="29"/>
      <c r="N366" s="29"/>
      <c r="O366" s="178"/>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77"/>
      <c r="AM366" s="77"/>
      <c r="AN366" s="77"/>
      <c r="AO366" s="62"/>
      <c r="AP366" s="62"/>
      <c r="AQ366" s="62"/>
      <c r="AR366" s="62"/>
      <c r="AS366" s="62"/>
      <c r="AT366" s="62"/>
      <c r="AU366" s="62"/>
      <c r="AV366" s="62"/>
      <c r="AW366" s="62"/>
      <c r="AX366" s="62"/>
      <c r="AY366" s="62"/>
    </row>
    <row r="367" spans="1:51" s="27" customFormat="1" ht="13.8">
      <c r="A367" s="89"/>
      <c r="B367" s="89"/>
      <c r="C367" s="89"/>
      <c r="D367" s="89"/>
      <c r="E367" s="89"/>
      <c r="F367" s="89"/>
      <c r="G367" s="89"/>
      <c r="H367" s="29"/>
      <c r="I367" s="29"/>
      <c r="J367" s="29"/>
      <c r="K367" s="29"/>
      <c r="L367" s="29"/>
      <c r="M367" s="29"/>
      <c r="N367" s="29"/>
      <c r="O367" s="178"/>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77"/>
      <c r="AM367" s="77"/>
      <c r="AN367" s="77"/>
      <c r="AO367" s="62"/>
      <c r="AP367" s="62"/>
      <c r="AQ367" s="62"/>
      <c r="AR367" s="62"/>
      <c r="AS367" s="62"/>
      <c r="AT367" s="62"/>
      <c r="AU367" s="62"/>
      <c r="AV367" s="62"/>
      <c r="AW367" s="62"/>
      <c r="AX367" s="62"/>
      <c r="AY367" s="62"/>
    </row>
    <row r="368" spans="1:51" s="27" customFormat="1" ht="13.8">
      <c r="A368" s="89"/>
      <c r="B368" s="89"/>
      <c r="C368" s="89"/>
      <c r="D368" s="89"/>
      <c r="E368" s="89"/>
      <c r="F368" s="89"/>
      <c r="G368" s="89"/>
      <c r="H368" s="29"/>
      <c r="I368" s="29"/>
      <c r="J368" s="29"/>
      <c r="K368" s="29"/>
      <c r="L368" s="29"/>
      <c r="M368" s="29"/>
      <c r="N368" s="29"/>
      <c r="O368" s="178"/>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77"/>
      <c r="AM368" s="77"/>
      <c r="AN368" s="77"/>
      <c r="AO368" s="62"/>
      <c r="AP368" s="62"/>
      <c r="AQ368" s="62"/>
      <c r="AR368" s="62"/>
      <c r="AS368" s="62"/>
      <c r="AT368" s="62"/>
      <c r="AU368" s="62"/>
      <c r="AV368" s="62"/>
      <c r="AW368" s="62"/>
      <c r="AX368" s="62"/>
      <c r="AY368" s="62"/>
    </row>
    <row r="369" spans="1:51" s="27" customFormat="1" ht="13.8">
      <c r="A369" s="89"/>
      <c r="B369" s="89"/>
      <c r="C369" s="89"/>
      <c r="D369" s="89"/>
      <c r="E369" s="89"/>
      <c r="F369" s="89"/>
      <c r="G369" s="89"/>
      <c r="H369" s="29"/>
      <c r="I369" s="29"/>
      <c r="J369" s="29"/>
      <c r="K369" s="29"/>
      <c r="L369" s="29"/>
      <c r="M369" s="29"/>
      <c r="N369" s="29"/>
      <c r="O369" s="178"/>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77"/>
      <c r="AM369" s="77"/>
      <c r="AN369" s="77"/>
      <c r="AO369" s="62"/>
      <c r="AP369" s="62"/>
      <c r="AQ369" s="62"/>
      <c r="AR369" s="62"/>
      <c r="AS369" s="62"/>
      <c r="AT369" s="62"/>
      <c r="AU369" s="62"/>
      <c r="AV369" s="62"/>
      <c r="AW369" s="62"/>
      <c r="AX369" s="62"/>
      <c r="AY369" s="62"/>
    </row>
    <row r="370" spans="1:51" s="27" customFormat="1" ht="13.8" hidden="1">
      <c r="A370" s="89"/>
      <c r="B370" s="89"/>
      <c r="C370" s="89"/>
      <c r="D370" s="89"/>
      <c r="E370" s="89"/>
      <c r="F370" s="89"/>
      <c r="G370" s="89"/>
      <c r="H370" s="29"/>
      <c r="I370" s="29"/>
      <c r="J370" s="29"/>
      <c r="K370" s="29"/>
      <c r="L370" s="29"/>
      <c r="M370" s="29"/>
      <c r="N370" s="29"/>
      <c r="O370" s="178"/>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77"/>
      <c r="AM370" s="77"/>
      <c r="AN370" s="77"/>
      <c r="AO370" s="62"/>
      <c r="AP370" s="62"/>
      <c r="AQ370" s="62"/>
      <c r="AR370" s="62"/>
      <c r="AS370" s="62"/>
      <c r="AT370" s="62"/>
      <c r="AU370" s="62"/>
      <c r="AV370" s="62"/>
      <c r="AW370" s="62"/>
      <c r="AX370" s="62"/>
      <c r="AY370" s="62"/>
    </row>
    <row r="371" spans="1:51" s="27" customFormat="1" ht="13.8" hidden="1">
      <c r="A371" s="89"/>
      <c r="B371" s="89"/>
      <c r="C371" s="89"/>
      <c r="D371" s="89"/>
      <c r="E371" s="89"/>
      <c r="F371" s="89"/>
      <c r="G371" s="89"/>
      <c r="H371" s="29"/>
      <c r="I371" s="29"/>
      <c r="J371" s="29"/>
      <c r="K371" s="29"/>
      <c r="L371" s="29"/>
      <c r="M371" s="29"/>
      <c r="N371" s="29"/>
      <c r="O371" s="178"/>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77"/>
      <c r="AM371" s="77"/>
      <c r="AN371" s="77"/>
      <c r="AO371" s="62"/>
      <c r="AP371" s="62"/>
      <c r="AQ371" s="62"/>
      <c r="AR371" s="62"/>
      <c r="AS371" s="62"/>
      <c r="AT371" s="62"/>
      <c r="AU371" s="62"/>
      <c r="AV371" s="62"/>
      <c r="AW371" s="62"/>
      <c r="AX371" s="62"/>
      <c r="AY371" s="62"/>
    </row>
    <row r="372" spans="1:51" s="27" customFormat="1" ht="13.8" hidden="1">
      <c r="A372" s="404" t="s">
        <v>69</v>
      </c>
      <c r="B372" s="405"/>
      <c r="C372" s="405"/>
      <c r="D372" s="405"/>
      <c r="E372" s="405"/>
      <c r="F372" s="406"/>
      <c r="G372" s="89"/>
      <c r="H372" s="29"/>
      <c r="I372" s="29"/>
      <c r="J372" s="29"/>
      <c r="K372" s="29"/>
      <c r="L372" s="29"/>
      <c r="M372" s="29"/>
      <c r="N372" s="29"/>
      <c r="O372" s="178"/>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77"/>
      <c r="AM372" s="77"/>
      <c r="AN372" s="77"/>
      <c r="AO372" s="62"/>
      <c r="AP372" s="62"/>
      <c r="AQ372" s="62"/>
      <c r="AR372" s="62"/>
      <c r="AS372" s="62"/>
      <c r="AT372" s="62"/>
      <c r="AU372" s="62"/>
      <c r="AV372" s="62"/>
      <c r="AW372" s="62"/>
      <c r="AX372" s="62"/>
      <c r="AY372" s="62"/>
    </row>
    <row r="373" spans="1:51" s="27" customFormat="1" ht="13.8" hidden="1">
      <c r="A373" s="90" t="s">
        <v>30</v>
      </c>
      <c r="B373" s="407" t="s">
        <v>23</v>
      </c>
      <c r="C373" s="408"/>
      <c r="D373" s="407" t="s">
        <v>33</v>
      </c>
      <c r="E373" s="408"/>
      <c r="F373" s="91" t="s">
        <v>22</v>
      </c>
      <c r="G373" s="89"/>
      <c r="H373" s="29"/>
      <c r="I373" s="29"/>
      <c r="J373" s="29"/>
      <c r="K373" s="29"/>
      <c r="L373" s="29"/>
      <c r="M373" s="29"/>
      <c r="N373" s="29"/>
      <c r="O373" s="178"/>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77"/>
      <c r="AM373" s="77"/>
      <c r="AN373" s="77"/>
      <c r="AO373" s="62"/>
      <c r="AP373" s="62"/>
      <c r="AQ373" s="62"/>
      <c r="AR373" s="62"/>
      <c r="AS373" s="62"/>
      <c r="AT373" s="62"/>
      <c r="AU373" s="62"/>
      <c r="AV373" s="62"/>
      <c r="AW373" s="62"/>
      <c r="AX373" s="62"/>
      <c r="AY373" s="62"/>
    </row>
    <row r="374" spans="1:51" s="27" customFormat="1" ht="13.8" hidden="1">
      <c r="A374" s="92">
        <v>1</v>
      </c>
      <c r="B374" s="93">
        <v>2</v>
      </c>
      <c r="C374" s="93">
        <v>3</v>
      </c>
      <c r="D374" s="93">
        <v>4</v>
      </c>
      <c r="E374" s="92">
        <v>5</v>
      </c>
      <c r="F374" s="93">
        <v>6</v>
      </c>
      <c r="G374" s="89"/>
      <c r="H374" s="29"/>
      <c r="I374" s="29"/>
      <c r="J374" s="29"/>
      <c r="K374" s="29"/>
      <c r="L374" s="29"/>
      <c r="M374" s="29"/>
      <c r="N374" s="29"/>
      <c r="O374" s="178"/>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77"/>
      <c r="AM374" s="77"/>
      <c r="AN374" s="77"/>
      <c r="AO374" s="62"/>
      <c r="AP374" s="62"/>
      <c r="AQ374" s="62"/>
      <c r="AR374" s="62"/>
      <c r="AS374" s="62"/>
      <c r="AT374" s="62"/>
      <c r="AU374" s="62"/>
      <c r="AV374" s="62"/>
      <c r="AW374" s="62"/>
      <c r="AX374" s="62"/>
      <c r="AY374" s="62"/>
    </row>
    <row r="375" spans="1:51" s="27" customFormat="1" ht="13.8" hidden="1">
      <c r="A375" s="94"/>
      <c r="B375" s="93" t="s">
        <v>51</v>
      </c>
      <c r="C375" s="93" t="s">
        <v>31</v>
      </c>
      <c r="D375" s="93" t="s">
        <v>51</v>
      </c>
      <c r="E375" s="93" t="s">
        <v>31</v>
      </c>
      <c r="F375" s="92" t="s">
        <v>31</v>
      </c>
      <c r="G375" s="89"/>
      <c r="H375" s="29"/>
      <c r="I375" s="29"/>
      <c r="J375" s="29"/>
      <c r="K375" s="29"/>
      <c r="L375" s="29"/>
      <c r="M375" s="29"/>
      <c r="N375" s="29"/>
      <c r="O375" s="178"/>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77"/>
      <c r="AM375" s="77"/>
      <c r="AN375" s="77"/>
      <c r="AO375" s="62"/>
      <c r="AP375" s="62"/>
      <c r="AQ375" s="62"/>
      <c r="AR375" s="62"/>
      <c r="AS375" s="62"/>
      <c r="AT375" s="62"/>
      <c r="AU375" s="62"/>
      <c r="AV375" s="62"/>
      <c r="AW375" s="62"/>
      <c r="AX375" s="62"/>
      <c r="AY375" s="62"/>
    </row>
    <row r="376" spans="1:51" s="27" customFormat="1" ht="13.8" hidden="1">
      <c r="A376" s="95"/>
      <c r="B376" s="90">
        <v>2025</v>
      </c>
      <c r="C376" s="90">
        <v>2026</v>
      </c>
      <c r="D376" s="90" t="s">
        <v>187</v>
      </c>
      <c r="E376" s="90" t="s">
        <v>220</v>
      </c>
      <c r="F376" s="96"/>
      <c r="G376" s="89"/>
      <c r="H376" s="78" t="str">
        <f t="shared" ref="H376:P376" si="53">C415</f>
        <v>2021 fakts</v>
      </c>
      <c r="I376" s="78" t="str">
        <f t="shared" si="53"/>
        <v>2021 fakts</v>
      </c>
      <c r="J376" s="78" t="str">
        <f t="shared" si="53"/>
        <v>2022 plāns</v>
      </c>
      <c r="K376" s="78" t="str">
        <f t="shared" si="53"/>
        <v>2022 fakts</v>
      </c>
      <c r="L376" s="78" t="str">
        <f t="shared" si="53"/>
        <v>2023 plāns</v>
      </c>
      <c r="M376" s="78" t="str">
        <f t="shared" si="53"/>
        <v>2023 fakts</v>
      </c>
      <c r="N376" s="78" t="str">
        <f t="shared" si="53"/>
        <v>2024 fakts</v>
      </c>
      <c r="O376" s="78" t="str">
        <f t="shared" si="53"/>
        <v>2025 fakts</v>
      </c>
      <c r="P376" s="78" t="str">
        <f t="shared" si="53"/>
        <v>2026 prognoze</v>
      </c>
      <c r="Q376" s="77"/>
      <c r="R376" s="77"/>
      <c r="S376" s="77"/>
      <c r="T376" s="77"/>
      <c r="U376" s="77"/>
      <c r="V376" s="77"/>
      <c r="W376" s="77"/>
      <c r="X376" s="77"/>
      <c r="Y376" s="77"/>
      <c r="Z376" s="77"/>
      <c r="AA376" s="77"/>
      <c r="AB376" s="77"/>
      <c r="AC376" s="77"/>
      <c r="AD376" s="77"/>
      <c r="AE376" s="77"/>
      <c r="AF376" s="77"/>
      <c r="AG376" s="77"/>
      <c r="AH376" s="77"/>
      <c r="AI376" s="77"/>
      <c r="AJ376" s="77"/>
      <c r="AK376" s="77"/>
      <c r="AL376" s="77"/>
      <c r="AM376" s="77"/>
      <c r="AN376" s="77"/>
      <c r="AO376" s="62"/>
      <c r="AP376" s="62"/>
      <c r="AQ376" s="62"/>
      <c r="AR376" s="62"/>
      <c r="AS376" s="62"/>
      <c r="AT376" s="62"/>
      <c r="AU376" s="62"/>
      <c r="AV376" s="62"/>
      <c r="AW376" s="62"/>
      <c r="AX376" s="62"/>
      <c r="AY376" s="62"/>
    </row>
    <row r="377" spans="1:51" s="27" customFormat="1" ht="13.8" hidden="1">
      <c r="A377" s="97" t="s">
        <v>156</v>
      </c>
      <c r="B377" s="98">
        <f ca="1">IFERROR(B336/O377*100,"")</f>
        <v>0.16054689945821365</v>
      </c>
      <c r="C377" s="98">
        <f ca="1">IFERROR(C336/P377*100,"")</f>
        <v>0.11201810178312467</v>
      </c>
      <c r="D377" s="98">
        <f>IFERROR(D336/O377*100,"")</f>
        <v>1.9367898430402973E-3</v>
      </c>
      <c r="E377" s="98">
        <f>IFERROR(E336/P377*100,"")</f>
        <v>1.241102404474205E-2</v>
      </c>
      <c r="F377" s="98">
        <f ca="1">IFERROR(C377-E377,"")</f>
        <v>9.9607077738382621E-2</v>
      </c>
      <c r="G377" s="89"/>
      <c r="H377" s="78">
        <f t="shared" ref="H377:H388" si="54">C416</f>
        <v>32283779</v>
      </c>
      <c r="I377" s="78">
        <f t="shared" ref="I377:P377" si="55">D416</f>
        <v>32283779</v>
      </c>
      <c r="J377" s="78">
        <f t="shared" si="55"/>
        <v>36103656</v>
      </c>
      <c r="K377" s="78">
        <f t="shared" si="55"/>
        <v>36088740</v>
      </c>
      <c r="L377" s="78">
        <f t="shared" si="55"/>
        <v>39072483</v>
      </c>
      <c r="M377" s="78">
        <f t="shared" si="55"/>
        <v>39564221</v>
      </c>
      <c r="N377" s="78">
        <f t="shared" si="55"/>
        <v>40652318</v>
      </c>
      <c r="O377" s="78">
        <f t="shared" si="55"/>
        <v>43026190</v>
      </c>
      <c r="P377" s="78">
        <f t="shared" si="55"/>
        <v>45538272.107807383</v>
      </c>
      <c r="Q377" s="77"/>
      <c r="R377" s="77"/>
      <c r="S377" s="77"/>
      <c r="T377" s="77"/>
      <c r="U377" s="77"/>
      <c r="V377" s="77"/>
      <c r="W377" s="77"/>
      <c r="X377" s="77"/>
      <c r="Y377" s="77"/>
      <c r="Z377" s="77"/>
      <c r="AA377" s="77"/>
      <c r="AB377" s="77"/>
      <c r="AC377" s="77"/>
      <c r="AD377" s="77"/>
      <c r="AE377" s="77"/>
      <c r="AF377" s="77"/>
      <c r="AG377" s="77"/>
      <c r="AH377" s="77"/>
      <c r="AI377" s="77"/>
      <c r="AJ377" s="77"/>
      <c r="AK377" s="77"/>
      <c r="AL377" s="77"/>
      <c r="AM377" s="77"/>
      <c r="AN377" s="77"/>
      <c r="AO377" s="62"/>
      <c r="AP377" s="62"/>
      <c r="AQ377" s="62"/>
      <c r="AR377" s="62"/>
      <c r="AS377" s="62"/>
      <c r="AT377" s="62"/>
      <c r="AU377" s="62"/>
      <c r="AV377" s="62"/>
      <c r="AW377" s="62"/>
      <c r="AX377" s="62"/>
      <c r="AY377" s="62"/>
    </row>
    <row r="378" spans="1:51" s="27" customFormat="1" ht="13.8" hidden="1">
      <c r="A378" s="97" t="s">
        <v>157</v>
      </c>
      <c r="B378" s="98">
        <f t="shared" ref="B378:B388" ca="1" si="56">IFERROR(B337/O378*100,"")</f>
        <v>0.24332442867936926</v>
      </c>
      <c r="C378" s="98">
        <f t="shared" ref="C378:C388" ca="1" si="57">IFERROR(C337/P378*100,"")</f>
        <v>0.21445258126791522</v>
      </c>
      <c r="D378" s="98">
        <f t="shared" ref="D378:D388" si="58">IFERROR(D337/O378*100,"")</f>
        <v>3.8735796860805945E-3</v>
      </c>
      <c r="E378" s="98">
        <f t="shared" ref="E378:E388" si="59">IFERROR(E337/P378*100,"")</f>
        <v>2.48220480894841E-2</v>
      </c>
      <c r="F378" s="98">
        <f t="shared" ref="F378:F388" ca="1" si="60">IFERROR(C378-E378,"")</f>
        <v>0.18963053317843112</v>
      </c>
      <c r="G378" s="89"/>
      <c r="H378" s="78">
        <f t="shared" si="54"/>
        <v>32283779</v>
      </c>
      <c r="I378" s="78">
        <f t="shared" ref="I378:I388" si="61">D417</f>
        <v>32283779</v>
      </c>
      <c r="J378" s="78">
        <f t="shared" ref="J378:J388" si="62">E417</f>
        <v>36103656</v>
      </c>
      <c r="K378" s="78">
        <f t="shared" ref="K378:K388" si="63">F417</f>
        <v>36088740</v>
      </c>
      <c r="L378" s="78">
        <f t="shared" ref="L378:L388" si="64">G417</f>
        <v>39072483</v>
      </c>
      <c r="M378" s="78">
        <f t="shared" ref="M378:M388" si="65">H417</f>
        <v>39564221</v>
      </c>
      <c r="N378" s="78">
        <f t="shared" ref="N378:N388" si="66">I417</f>
        <v>40652318</v>
      </c>
      <c r="O378" s="78">
        <f t="shared" ref="O378:O388" si="67">J417</f>
        <v>43026190</v>
      </c>
      <c r="P378" s="78">
        <f t="shared" ref="P378:P388" si="68">K417</f>
        <v>45538272.107807383</v>
      </c>
      <c r="Q378" s="77"/>
      <c r="R378" s="77"/>
      <c r="S378" s="77"/>
      <c r="T378" s="77"/>
      <c r="U378" s="77"/>
      <c r="V378" s="77"/>
      <c r="W378" s="77"/>
      <c r="X378" s="77"/>
      <c r="Y378" s="77"/>
      <c r="Z378" s="77"/>
      <c r="AA378" s="77"/>
      <c r="AB378" s="77"/>
      <c r="AC378" s="77"/>
      <c r="AD378" s="77"/>
      <c r="AE378" s="77"/>
      <c r="AF378" s="77"/>
      <c r="AG378" s="77"/>
      <c r="AH378" s="77"/>
      <c r="AI378" s="77"/>
      <c r="AJ378" s="77"/>
      <c r="AK378" s="77"/>
      <c r="AL378" s="77"/>
      <c r="AM378" s="77"/>
      <c r="AN378" s="77"/>
      <c r="AO378" s="62"/>
      <c r="AP378" s="62"/>
      <c r="AQ378" s="62"/>
      <c r="AR378" s="62"/>
      <c r="AS378" s="62"/>
      <c r="AT378" s="62"/>
      <c r="AU378" s="62"/>
      <c r="AV378" s="62"/>
      <c r="AW378" s="62"/>
      <c r="AX378" s="62"/>
      <c r="AY378" s="62"/>
    </row>
    <row r="379" spans="1:51" s="27" customFormat="1" ht="13.8" hidden="1">
      <c r="A379" s="97" t="s">
        <v>158</v>
      </c>
      <c r="B379" s="98">
        <f t="shared" ca="1" si="56"/>
        <v>0.31201903305870216</v>
      </c>
      <c r="C379" s="98">
        <f t="shared" ca="1" si="57"/>
        <v>0.24966181134595133</v>
      </c>
      <c r="D379" s="98">
        <f t="shared" si="58"/>
        <v>5.8103695291208922E-3</v>
      </c>
      <c r="E379" s="98">
        <f t="shared" si="59"/>
        <v>3.7233072134226143E-2</v>
      </c>
      <c r="F379" s="98">
        <f t="shared" ca="1" si="60"/>
        <v>0.2124287392117252</v>
      </c>
      <c r="G379" s="89"/>
      <c r="H379" s="78">
        <f t="shared" si="54"/>
        <v>32283779</v>
      </c>
      <c r="I379" s="78">
        <f t="shared" si="61"/>
        <v>32283779</v>
      </c>
      <c r="J379" s="78">
        <f t="shared" si="62"/>
        <v>36103656</v>
      </c>
      <c r="K379" s="78">
        <f t="shared" si="63"/>
        <v>36088740</v>
      </c>
      <c r="L379" s="78">
        <f t="shared" si="64"/>
        <v>39072483</v>
      </c>
      <c r="M379" s="78">
        <f t="shared" si="65"/>
        <v>39564221</v>
      </c>
      <c r="N379" s="78">
        <f t="shared" si="66"/>
        <v>40652318</v>
      </c>
      <c r="O379" s="78">
        <f t="shared" si="67"/>
        <v>43026190</v>
      </c>
      <c r="P379" s="78">
        <f t="shared" si="68"/>
        <v>45538272.107807383</v>
      </c>
      <c r="Q379" s="77"/>
      <c r="R379" s="77"/>
      <c r="S379" s="77"/>
      <c r="T379" s="77"/>
      <c r="U379" s="77"/>
      <c r="V379" s="77"/>
      <c r="W379" s="77"/>
      <c r="X379" s="77"/>
      <c r="Y379" s="77"/>
      <c r="Z379" s="77"/>
      <c r="AA379" s="77"/>
      <c r="AB379" s="77"/>
      <c r="AC379" s="77"/>
      <c r="AD379" s="77"/>
      <c r="AE379" s="77"/>
      <c r="AF379" s="77"/>
      <c r="AG379" s="77"/>
      <c r="AH379" s="77"/>
      <c r="AI379" s="77"/>
      <c r="AJ379" s="77"/>
      <c r="AK379" s="77"/>
      <c r="AL379" s="77"/>
      <c r="AM379" s="77"/>
      <c r="AN379" s="77"/>
      <c r="AO379" s="62"/>
      <c r="AP379" s="62"/>
      <c r="AQ379" s="62"/>
      <c r="AR379" s="62"/>
      <c r="AS379" s="62"/>
      <c r="AT379" s="62"/>
      <c r="AU379" s="62"/>
      <c r="AV379" s="62"/>
      <c r="AW379" s="62"/>
      <c r="AX379" s="62"/>
      <c r="AY379" s="62"/>
    </row>
    <row r="380" spans="1:51" s="27" customFormat="1" ht="13.8" hidden="1">
      <c r="A380" s="97" t="s">
        <v>159</v>
      </c>
      <c r="B380" s="98">
        <f t="shared" ca="1" si="56"/>
        <v>0.27559399984056221</v>
      </c>
      <c r="C380" s="98">
        <f t="shared" ca="1" si="57"/>
        <v>0.24449330825820115</v>
      </c>
      <c r="D380" s="98">
        <f t="shared" si="58"/>
        <v>7.747159372161189E-3</v>
      </c>
      <c r="E380" s="98">
        <f t="shared" si="59"/>
        <v>4.96440961789682E-2</v>
      </c>
      <c r="F380" s="98">
        <f t="shared" ca="1" si="60"/>
        <v>0.19484921207923295</v>
      </c>
      <c r="G380" s="89"/>
      <c r="H380" s="78">
        <f t="shared" si="54"/>
        <v>32283779</v>
      </c>
      <c r="I380" s="78">
        <f t="shared" si="61"/>
        <v>32283779</v>
      </c>
      <c r="J380" s="78">
        <f t="shared" si="62"/>
        <v>36103656</v>
      </c>
      <c r="K380" s="78">
        <f t="shared" si="63"/>
        <v>36088740</v>
      </c>
      <c r="L380" s="78">
        <f t="shared" si="64"/>
        <v>39072483</v>
      </c>
      <c r="M380" s="78">
        <f t="shared" si="65"/>
        <v>39564221</v>
      </c>
      <c r="N380" s="78">
        <f t="shared" si="66"/>
        <v>40652318</v>
      </c>
      <c r="O380" s="78">
        <f t="shared" si="67"/>
        <v>43026190</v>
      </c>
      <c r="P380" s="78">
        <f t="shared" si="68"/>
        <v>45538272.107807383</v>
      </c>
      <c r="Q380" s="77"/>
      <c r="R380" s="77"/>
      <c r="S380" s="77"/>
      <c r="T380" s="77"/>
      <c r="U380" s="77"/>
      <c r="V380" s="77"/>
      <c r="W380" s="77"/>
      <c r="X380" s="77"/>
      <c r="Y380" s="77"/>
      <c r="Z380" s="77"/>
      <c r="AA380" s="77"/>
      <c r="AB380" s="77"/>
      <c r="AC380" s="77"/>
      <c r="AD380" s="77"/>
      <c r="AE380" s="77"/>
      <c r="AF380" s="77"/>
      <c r="AG380" s="77"/>
      <c r="AH380" s="77"/>
      <c r="AI380" s="77"/>
      <c r="AJ380" s="77"/>
      <c r="AK380" s="77"/>
      <c r="AL380" s="77"/>
      <c r="AM380" s="77"/>
      <c r="AN380" s="77"/>
      <c r="AO380" s="62"/>
      <c r="AP380" s="62"/>
      <c r="AQ380" s="62"/>
      <c r="AR380" s="62"/>
      <c r="AS380" s="62"/>
      <c r="AT380" s="62"/>
      <c r="AU380" s="62"/>
      <c r="AV380" s="62"/>
      <c r="AW380" s="62"/>
      <c r="AX380" s="62"/>
      <c r="AY380" s="62"/>
    </row>
    <row r="381" spans="1:51" s="27" customFormat="1" ht="13.8" hidden="1">
      <c r="A381" s="97" t="s">
        <v>160</v>
      </c>
      <c r="B381" s="98">
        <f t="shared" ca="1" si="56"/>
        <v>0.28068325826665141</v>
      </c>
      <c r="C381" s="98">
        <f t="shared" ca="1" si="57"/>
        <v>0.26774589231525969</v>
      </c>
      <c r="D381" s="98">
        <f t="shared" si="58"/>
        <v>9.6839492152014876E-3</v>
      </c>
      <c r="E381" s="98">
        <f t="shared" si="59"/>
        <v>6.205512022371025E-2</v>
      </c>
      <c r="F381" s="98">
        <f t="shared" ca="1" si="60"/>
        <v>0.20569077209154946</v>
      </c>
      <c r="G381" s="89"/>
      <c r="H381" s="78">
        <f t="shared" si="54"/>
        <v>32283779</v>
      </c>
      <c r="I381" s="78">
        <f t="shared" si="61"/>
        <v>32283779</v>
      </c>
      <c r="J381" s="78">
        <f t="shared" si="62"/>
        <v>36103656</v>
      </c>
      <c r="K381" s="78">
        <f t="shared" si="63"/>
        <v>36088740</v>
      </c>
      <c r="L381" s="78">
        <f t="shared" si="64"/>
        <v>39072483</v>
      </c>
      <c r="M381" s="78">
        <f t="shared" si="65"/>
        <v>39564221</v>
      </c>
      <c r="N381" s="78">
        <f t="shared" si="66"/>
        <v>40652318</v>
      </c>
      <c r="O381" s="78">
        <f t="shared" si="67"/>
        <v>43026190</v>
      </c>
      <c r="P381" s="78">
        <f t="shared" si="68"/>
        <v>45538272.107807383</v>
      </c>
      <c r="Q381" s="77"/>
      <c r="R381" s="77"/>
      <c r="S381" s="77"/>
      <c r="T381" s="77"/>
      <c r="U381" s="77"/>
      <c r="V381" s="77"/>
      <c r="W381" s="77"/>
      <c r="X381" s="77"/>
      <c r="Y381" s="77"/>
      <c r="Z381" s="77"/>
      <c r="AA381" s="77"/>
      <c r="AB381" s="77"/>
      <c r="AC381" s="77"/>
      <c r="AD381" s="77"/>
      <c r="AE381" s="77"/>
      <c r="AF381" s="77"/>
      <c r="AG381" s="77"/>
      <c r="AH381" s="77"/>
      <c r="AI381" s="77"/>
      <c r="AJ381" s="77"/>
      <c r="AK381" s="77"/>
      <c r="AL381" s="77"/>
      <c r="AM381" s="77"/>
      <c r="AN381" s="77"/>
      <c r="AO381" s="62"/>
      <c r="AP381" s="62"/>
      <c r="AQ381" s="62"/>
      <c r="AR381" s="62"/>
      <c r="AS381" s="62"/>
      <c r="AT381" s="62"/>
      <c r="AU381" s="62"/>
      <c r="AV381" s="62"/>
      <c r="AW381" s="62"/>
      <c r="AX381" s="62"/>
      <c r="AY381" s="62"/>
    </row>
    <row r="382" spans="1:51" s="27" customFormat="1" ht="13.8" hidden="1">
      <c r="A382" s="97" t="s">
        <v>161</v>
      </c>
      <c r="B382" s="98">
        <f t="shared" ca="1" si="56"/>
        <v>0.305461092418362</v>
      </c>
      <c r="C382" s="98">
        <f t="shared" ca="1" si="57"/>
        <v>0.24411891109267725</v>
      </c>
      <c r="D382" s="98">
        <f t="shared" si="58"/>
        <v>1.1620739058241784E-2</v>
      </c>
      <c r="E382" s="98">
        <f t="shared" si="59"/>
        <v>7.4466144268452286E-2</v>
      </c>
      <c r="F382" s="98">
        <f t="shared" ca="1" si="60"/>
        <v>0.16965276682422498</v>
      </c>
      <c r="G382" s="89"/>
      <c r="H382" s="78">
        <f t="shared" si="54"/>
        <v>32283779</v>
      </c>
      <c r="I382" s="78">
        <f t="shared" si="61"/>
        <v>32283779</v>
      </c>
      <c r="J382" s="78">
        <f t="shared" si="62"/>
        <v>36103656</v>
      </c>
      <c r="K382" s="78">
        <f t="shared" si="63"/>
        <v>36088740</v>
      </c>
      <c r="L382" s="78">
        <f t="shared" si="64"/>
        <v>39072483</v>
      </c>
      <c r="M382" s="78">
        <f t="shared" si="65"/>
        <v>39564221</v>
      </c>
      <c r="N382" s="78">
        <f t="shared" si="66"/>
        <v>40652318</v>
      </c>
      <c r="O382" s="78">
        <f t="shared" si="67"/>
        <v>43026190</v>
      </c>
      <c r="P382" s="78">
        <f t="shared" si="68"/>
        <v>45538272.107807383</v>
      </c>
      <c r="Q382" s="77"/>
      <c r="R382" s="77"/>
      <c r="S382" s="77"/>
      <c r="T382" s="77"/>
      <c r="U382" s="77"/>
      <c r="V382" s="77"/>
      <c r="W382" s="77"/>
      <c r="X382" s="77"/>
      <c r="Y382" s="77"/>
      <c r="Z382" s="77"/>
      <c r="AA382" s="77"/>
      <c r="AB382" s="77"/>
      <c r="AC382" s="77"/>
      <c r="AD382" s="77"/>
      <c r="AE382" s="77"/>
      <c r="AF382" s="77"/>
      <c r="AG382" s="77"/>
      <c r="AH382" s="77"/>
      <c r="AI382" s="77"/>
      <c r="AJ382" s="77"/>
      <c r="AK382" s="77"/>
      <c r="AL382" s="77"/>
      <c r="AM382" s="77"/>
      <c r="AN382" s="77"/>
      <c r="AO382" s="62"/>
      <c r="AP382" s="62"/>
      <c r="AQ382" s="62"/>
      <c r="AR382" s="62"/>
      <c r="AS382" s="62"/>
      <c r="AT382" s="62"/>
      <c r="AU382" s="62"/>
      <c r="AV382" s="62"/>
      <c r="AW382" s="62"/>
      <c r="AX382" s="62"/>
      <c r="AY382" s="62"/>
    </row>
    <row r="383" spans="1:51" s="27" customFormat="1" ht="13.8" hidden="1">
      <c r="A383" s="97" t="s">
        <v>162</v>
      </c>
      <c r="B383" s="98">
        <f t="shared" ca="1" si="56"/>
        <v>0.14324563480986804</v>
      </c>
      <c r="C383" s="98">
        <f t="shared" ca="1" si="57"/>
        <v>9.4421858822852048E-2</v>
      </c>
      <c r="D383" s="98">
        <f t="shared" si="58"/>
        <v>1.3557528901282081E-2</v>
      </c>
      <c r="E383" s="98">
        <f t="shared" si="59"/>
        <v>8.687716831319435E-2</v>
      </c>
      <c r="F383" s="98">
        <f t="shared" ca="1" si="60"/>
        <v>7.5446905096576977E-3</v>
      </c>
      <c r="G383" s="89"/>
      <c r="H383" s="78">
        <f t="shared" si="54"/>
        <v>32283779</v>
      </c>
      <c r="I383" s="78">
        <f t="shared" si="61"/>
        <v>32283779</v>
      </c>
      <c r="J383" s="78">
        <f t="shared" si="62"/>
        <v>36103656</v>
      </c>
      <c r="K383" s="78">
        <f t="shared" si="63"/>
        <v>36088740</v>
      </c>
      <c r="L383" s="78">
        <f t="shared" si="64"/>
        <v>39072483</v>
      </c>
      <c r="M383" s="78">
        <f t="shared" si="65"/>
        <v>39564221</v>
      </c>
      <c r="N383" s="78">
        <f t="shared" si="66"/>
        <v>40652318</v>
      </c>
      <c r="O383" s="78">
        <f t="shared" si="67"/>
        <v>43026190</v>
      </c>
      <c r="P383" s="78">
        <f t="shared" si="68"/>
        <v>45538272.107807383</v>
      </c>
      <c r="Q383" s="77"/>
      <c r="R383" s="77"/>
      <c r="S383" s="77"/>
      <c r="T383" s="77"/>
      <c r="U383" s="77"/>
      <c r="V383" s="77"/>
      <c r="W383" s="77"/>
      <c r="X383" s="77"/>
      <c r="Y383" s="77"/>
      <c r="Z383" s="77"/>
      <c r="AA383" s="77"/>
      <c r="AB383" s="77"/>
      <c r="AC383" s="77"/>
      <c r="AD383" s="77"/>
      <c r="AE383" s="77"/>
      <c r="AF383" s="77"/>
      <c r="AG383" s="77"/>
      <c r="AH383" s="77"/>
      <c r="AI383" s="77"/>
      <c r="AJ383" s="77"/>
      <c r="AK383" s="77"/>
      <c r="AL383" s="77"/>
      <c r="AM383" s="77"/>
      <c r="AN383" s="77"/>
      <c r="AO383" s="62"/>
      <c r="AP383" s="62"/>
      <c r="AQ383" s="62"/>
      <c r="AR383" s="62"/>
      <c r="AS383" s="62"/>
      <c r="AT383" s="62"/>
      <c r="AU383" s="62"/>
      <c r="AV383" s="62"/>
      <c r="AW383" s="62"/>
      <c r="AX383" s="62"/>
      <c r="AY383" s="62"/>
    </row>
    <row r="384" spans="1:51" s="27" customFormat="1" ht="13.8" hidden="1">
      <c r="A384" s="97" t="s">
        <v>163</v>
      </c>
      <c r="B384" s="98">
        <f t="shared" ca="1" si="56"/>
        <v>0.15360415598034552</v>
      </c>
      <c r="C384" s="98" t="str">
        <f t="shared" ca="1" si="57"/>
        <v/>
      </c>
      <c r="D384" s="98">
        <f t="shared" si="58"/>
        <v>1.5494318744322378E-2</v>
      </c>
      <c r="E384" s="98">
        <f t="shared" si="59"/>
        <v>9.92881923579364E-2</v>
      </c>
      <c r="F384" s="98" t="str">
        <f t="shared" ca="1" si="60"/>
        <v/>
      </c>
      <c r="G384" s="89"/>
      <c r="H384" s="78">
        <f t="shared" si="54"/>
        <v>32283779</v>
      </c>
      <c r="I384" s="78">
        <f t="shared" si="61"/>
        <v>32283779</v>
      </c>
      <c r="J384" s="78">
        <f t="shared" si="62"/>
        <v>36103656</v>
      </c>
      <c r="K384" s="78">
        <f t="shared" si="63"/>
        <v>36088740</v>
      </c>
      <c r="L384" s="78">
        <f t="shared" si="64"/>
        <v>39072483</v>
      </c>
      <c r="M384" s="78">
        <f t="shared" si="65"/>
        <v>39564221</v>
      </c>
      <c r="N384" s="78">
        <f t="shared" si="66"/>
        <v>40652318</v>
      </c>
      <c r="O384" s="78">
        <f t="shared" si="67"/>
        <v>43026190</v>
      </c>
      <c r="P384" s="78">
        <f t="shared" si="68"/>
        <v>45538272.107807383</v>
      </c>
      <c r="Q384" s="77"/>
      <c r="R384" s="77"/>
      <c r="S384" s="77"/>
      <c r="T384" s="77"/>
      <c r="U384" s="77"/>
      <c r="V384" s="77"/>
      <c r="W384" s="77"/>
      <c r="X384" s="77"/>
      <c r="Y384" s="77"/>
      <c r="Z384" s="77"/>
      <c r="AA384" s="77"/>
      <c r="AB384" s="77"/>
      <c r="AC384" s="77"/>
      <c r="AD384" s="77"/>
      <c r="AE384" s="77"/>
      <c r="AF384" s="77"/>
      <c r="AG384" s="77"/>
      <c r="AH384" s="77"/>
      <c r="AI384" s="77"/>
      <c r="AJ384" s="77"/>
      <c r="AK384" s="77"/>
      <c r="AL384" s="77"/>
      <c r="AM384" s="77"/>
      <c r="AN384" s="77"/>
      <c r="AO384" s="62"/>
      <c r="AP384" s="62"/>
      <c r="AQ384" s="62"/>
      <c r="AR384" s="62"/>
      <c r="AS384" s="62"/>
      <c r="AT384" s="62"/>
      <c r="AU384" s="62"/>
      <c r="AV384" s="62"/>
      <c r="AW384" s="62"/>
      <c r="AX384" s="62"/>
      <c r="AY384" s="62"/>
    </row>
    <row r="385" spans="1:51" s="27" customFormat="1" ht="13.8" hidden="1">
      <c r="A385" s="97" t="s">
        <v>164</v>
      </c>
      <c r="B385" s="98">
        <f t="shared" ca="1" si="56"/>
        <v>0.24042871097812699</v>
      </c>
      <c r="C385" s="98" t="str">
        <f t="shared" ca="1" si="57"/>
        <v/>
      </c>
      <c r="D385" s="98">
        <f t="shared" si="58"/>
        <v>1.7431108587362677E-2</v>
      </c>
      <c r="E385" s="98">
        <f t="shared" si="59"/>
        <v>0.11169921640267844</v>
      </c>
      <c r="F385" s="98" t="str">
        <f t="shared" ca="1" si="60"/>
        <v/>
      </c>
      <c r="G385" s="89"/>
      <c r="H385" s="78">
        <f t="shared" si="54"/>
        <v>32283779</v>
      </c>
      <c r="I385" s="78">
        <f t="shared" si="61"/>
        <v>32283779</v>
      </c>
      <c r="J385" s="78">
        <f t="shared" si="62"/>
        <v>36103656</v>
      </c>
      <c r="K385" s="78">
        <f t="shared" si="63"/>
        <v>36088740</v>
      </c>
      <c r="L385" s="78">
        <f t="shared" si="64"/>
        <v>39072483</v>
      </c>
      <c r="M385" s="78">
        <f t="shared" si="65"/>
        <v>39564221</v>
      </c>
      <c r="N385" s="78">
        <f t="shared" si="66"/>
        <v>40652318</v>
      </c>
      <c r="O385" s="78">
        <f t="shared" si="67"/>
        <v>43026190</v>
      </c>
      <c r="P385" s="78">
        <f t="shared" si="68"/>
        <v>45538272.107807383</v>
      </c>
      <c r="Q385" s="77"/>
      <c r="R385" s="77"/>
      <c r="S385" s="77"/>
      <c r="T385" s="77"/>
      <c r="U385" s="77"/>
      <c r="V385" s="77"/>
      <c r="W385" s="77"/>
      <c r="X385" s="77"/>
      <c r="Y385" s="77"/>
      <c r="Z385" s="77"/>
      <c r="AA385" s="77"/>
      <c r="AB385" s="77"/>
      <c r="AC385" s="77"/>
      <c r="AD385" s="77"/>
      <c r="AE385" s="77"/>
      <c r="AF385" s="77"/>
      <c r="AG385" s="77"/>
      <c r="AH385" s="77"/>
      <c r="AI385" s="77"/>
      <c r="AJ385" s="77"/>
      <c r="AK385" s="77"/>
      <c r="AL385" s="77"/>
      <c r="AM385" s="77"/>
      <c r="AN385" s="77"/>
      <c r="AO385" s="62"/>
      <c r="AP385" s="62"/>
      <c r="AQ385" s="62"/>
      <c r="AR385" s="62"/>
      <c r="AS385" s="62"/>
      <c r="AT385" s="62"/>
      <c r="AU385" s="62"/>
      <c r="AV385" s="62"/>
      <c r="AW385" s="62"/>
      <c r="AX385" s="62"/>
      <c r="AY385" s="62"/>
    </row>
    <row r="386" spans="1:51" s="27" customFormat="1" ht="13.8" hidden="1">
      <c r="A386" s="97" t="s">
        <v>165</v>
      </c>
      <c r="B386" s="98">
        <f t="shared" ca="1" si="56"/>
        <v>0.1981825604358643</v>
      </c>
      <c r="C386" s="98" t="str">
        <f t="shared" ca="1" si="57"/>
        <v/>
      </c>
      <c r="D386" s="98">
        <f t="shared" si="58"/>
        <v>1.9367898430402975E-2</v>
      </c>
      <c r="E386" s="98">
        <f t="shared" si="59"/>
        <v>0.1241102404474205</v>
      </c>
      <c r="F386" s="98" t="str">
        <f t="shared" ca="1" si="60"/>
        <v/>
      </c>
      <c r="G386" s="89"/>
      <c r="H386" s="78">
        <f t="shared" si="54"/>
        <v>32283779</v>
      </c>
      <c r="I386" s="78">
        <f t="shared" si="61"/>
        <v>32283779</v>
      </c>
      <c r="J386" s="78">
        <f t="shared" si="62"/>
        <v>36103656</v>
      </c>
      <c r="K386" s="78">
        <f t="shared" si="63"/>
        <v>36088740</v>
      </c>
      <c r="L386" s="78">
        <f t="shared" si="64"/>
        <v>39072483</v>
      </c>
      <c r="M386" s="78">
        <f t="shared" si="65"/>
        <v>39564221</v>
      </c>
      <c r="N386" s="78">
        <f t="shared" si="66"/>
        <v>40652318</v>
      </c>
      <c r="O386" s="78">
        <f t="shared" si="67"/>
        <v>43026190</v>
      </c>
      <c r="P386" s="78">
        <f t="shared" si="68"/>
        <v>45538272.107807383</v>
      </c>
      <c r="Q386" s="77"/>
      <c r="R386" s="77"/>
      <c r="S386" s="77"/>
      <c r="T386" s="77"/>
      <c r="U386" s="77"/>
      <c r="V386" s="77"/>
      <c r="W386" s="77"/>
      <c r="X386" s="77"/>
      <c r="Y386" s="77"/>
      <c r="Z386" s="77"/>
      <c r="AA386" s="77"/>
      <c r="AB386" s="77"/>
      <c r="AC386" s="77"/>
      <c r="AD386" s="77"/>
      <c r="AE386" s="77"/>
      <c r="AF386" s="77"/>
      <c r="AG386" s="77"/>
      <c r="AH386" s="77"/>
      <c r="AI386" s="77"/>
      <c r="AJ386" s="77"/>
      <c r="AK386" s="77"/>
      <c r="AL386" s="77"/>
      <c r="AM386" s="77"/>
      <c r="AN386" s="77"/>
      <c r="AO386" s="62"/>
      <c r="AP386" s="62"/>
      <c r="AQ386" s="62"/>
      <c r="AR386" s="62"/>
      <c r="AS386" s="62"/>
      <c r="AT386" s="62"/>
      <c r="AU386" s="62"/>
      <c r="AV386" s="62"/>
      <c r="AW386" s="62"/>
      <c r="AX386" s="62"/>
      <c r="AY386" s="62"/>
    </row>
    <row r="387" spans="1:51" s="27" customFormat="1" ht="13.8" hidden="1">
      <c r="A387" s="97" t="s">
        <v>166</v>
      </c>
      <c r="B387" s="98">
        <f t="shared" ca="1" si="56"/>
        <v>0.19596271712647514</v>
      </c>
      <c r="C387" s="98" t="str">
        <f t="shared" ca="1" si="57"/>
        <v/>
      </c>
      <c r="D387" s="98">
        <f t="shared" si="58"/>
        <v>2.130468827344327E-2</v>
      </c>
      <c r="E387" s="98">
        <f t="shared" si="59"/>
        <v>0.13652126449216254</v>
      </c>
      <c r="F387" s="98" t="str">
        <f t="shared" ca="1" si="60"/>
        <v/>
      </c>
      <c r="G387" s="89"/>
      <c r="H387" s="78">
        <f t="shared" si="54"/>
        <v>32283779</v>
      </c>
      <c r="I387" s="78">
        <f t="shared" si="61"/>
        <v>32283779</v>
      </c>
      <c r="J387" s="78">
        <f t="shared" si="62"/>
        <v>36103656</v>
      </c>
      <c r="K387" s="78">
        <f t="shared" si="63"/>
        <v>36088740</v>
      </c>
      <c r="L387" s="78">
        <f t="shared" si="64"/>
        <v>39072483</v>
      </c>
      <c r="M387" s="78">
        <f t="shared" si="65"/>
        <v>39564221</v>
      </c>
      <c r="N387" s="78">
        <f t="shared" si="66"/>
        <v>40652318</v>
      </c>
      <c r="O387" s="78">
        <f t="shared" si="67"/>
        <v>43026190</v>
      </c>
      <c r="P387" s="78">
        <f t="shared" si="68"/>
        <v>45538272.107807383</v>
      </c>
      <c r="Q387" s="77"/>
      <c r="R387" s="77"/>
      <c r="S387" s="77"/>
      <c r="T387" s="77"/>
      <c r="U387" s="77"/>
      <c r="V387" s="77"/>
      <c r="W387" s="77"/>
      <c r="X387" s="77"/>
      <c r="Y387" s="77"/>
      <c r="Z387" s="77"/>
      <c r="AA387" s="77"/>
      <c r="AB387" s="77"/>
      <c r="AC387" s="77"/>
      <c r="AD387" s="77"/>
      <c r="AE387" s="77"/>
      <c r="AF387" s="77"/>
      <c r="AG387" s="77"/>
      <c r="AH387" s="77"/>
      <c r="AI387" s="77"/>
      <c r="AJ387" s="77"/>
      <c r="AK387" s="77"/>
      <c r="AL387" s="77"/>
      <c r="AM387" s="77"/>
      <c r="AN387" s="77"/>
      <c r="AO387" s="62"/>
      <c r="AP387" s="62"/>
      <c r="AQ387" s="62"/>
      <c r="AR387" s="62"/>
      <c r="AS387" s="62"/>
      <c r="AT387" s="62"/>
      <c r="AU387" s="62"/>
      <c r="AV387" s="62"/>
      <c r="AW387" s="62"/>
      <c r="AX387" s="62"/>
      <c r="AY387" s="62"/>
    </row>
    <row r="388" spans="1:51" s="27" customFormat="1" ht="13.8" hidden="1">
      <c r="A388" s="97" t="s">
        <v>167</v>
      </c>
      <c r="B388" s="98">
        <f t="shared" ca="1" si="56"/>
        <v>-0.10972562990122973</v>
      </c>
      <c r="C388" s="98" t="str">
        <f t="shared" ca="1" si="57"/>
        <v/>
      </c>
      <c r="D388" s="98">
        <f t="shared" si="58"/>
        <v>2.3241478116483569E-2</v>
      </c>
      <c r="E388" s="98">
        <f t="shared" si="59"/>
        <v>0.14893228853690457</v>
      </c>
      <c r="F388" s="98" t="str">
        <f t="shared" ca="1" si="60"/>
        <v/>
      </c>
      <c r="G388" s="89"/>
      <c r="H388" s="78">
        <f t="shared" si="54"/>
        <v>32283779</v>
      </c>
      <c r="I388" s="78">
        <f t="shared" si="61"/>
        <v>32283779</v>
      </c>
      <c r="J388" s="78">
        <f t="shared" si="62"/>
        <v>36103656</v>
      </c>
      <c r="K388" s="78">
        <f t="shared" si="63"/>
        <v>36088740</v>
      </c>
      <c r="L388" s="78">
        <f t="shared" si="64"/>
        <v>39072483</v>
      </c>
      <c r="M388" s="78">
        <f t="shared" si="65"/>
        <v>39564221</v>
      </c>
      <c r="N388" s="78">
        <f t="shared" si="66"/>
        <v>40652318</v>
      </c>
      <c r="O388" s="78">
        <f t="shared" si="67"/>
        <v>43026190</v>
      </c>
      <c r="P388" s="78">
        <f t="shared" si="68"/>
        <v>45538272.107807383</v>
      </c>
      <c r="Q388" s="77"/>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62"/>
      <c r="AP388" s="62"/>
      <c r="AQ388" s="62"/>
      <c r="AR388" s="62"/>
      <c r="AS388" s="62"/>
      <c r="AT388" s="62"/>
      <c r="AU388" s="62"/>
      <c r="AV388" s="62"/>
      <c r="AW388" s="62"/>
      <c r="AX388" s="62"/>
      <c r="AY388" s="62"/>
    </row>
    <row r="389" spans="1:51" s="27" customFormat="1" ht="13.8" hidden="1">
      <c r="A389" s="89"/>
      <c r="B389" s="89"/>
      <c r="C389" s="89"/>
      <c r="D389" s="89"/>
      <c r="E389" s="89"/>
      <c r="F389" s="89"/>
      <c r="G389" s="89"/>
      <c r="H389" s="29"/>
      <c r="I389" s="29"/>
      <c r="J389" s="29"/>
      <c r="K389" s="29"/>
      <c r="L389" s="29"/>
      <c r="M389" s="29"/>
      <c r="N389" s="29"/>
      <c r="O389" s="178"/>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77"/>
      <c r="AM389" s="77"/>
      <c r="AN389" s="77"/>
      <c r="AO389" s="62"/>
      <c r="AP389" s="62"/>
      <c r="AQ389" s="62"/>
      <c r="AR389" s="62"/>
      <c r="AS389" s="62"/>
      <c r="AT389" s="62"/>
      <c r="AU389" s="62"/>
      <c r="AV389" s="62"/>
      <c r="AW389" s="62"/>
      <c r="AX389" s="62"/>
      <c r="AY389" s="62"/>
    </row>
    <row r="390" spans="1:51" s="27" customFormat="1" ht="13.8" hidden="1">
      <c r="A390" s="89"/>
      <c r="B390" s="89"/>
      <c r="C390" s="89"/>
      <c r="D390" s="89"/>
      <c r="E390" s="89"/>
      <c r="F390" s="89"/>
      <c r="G390" s="89"/>
      <c r="H390" s="29"/>
      <c r="I390" s="29"/>
      <c r="J390" s="29"/>
      <c r="K390" s="29"/>
      <c r="L390" s="29"/>
      <c r="M390" s="29"/>
      <c r="N390" s="29"/>
      <c r="O390" s="178"/>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77"/>
      <c r="AM390" s="77"/>
      <c r="AN390" s="77"/>
      <c r="AO390" s="62"/>
      <c r="AP390" s="62"/>
      <c r="AQ390" s="62"/>
      <c r="AR390" s="62"/>
      <c r="AS390" s="62"/>
      <c r="AT390" s="62"/>
      <c r="AU390" s="62"/>
      <c r="AV390" s="62"/>
      <c r="AW390" s="62"/>
      <c r="AX390" s="62"/>
      <c r="AY390" s="62"/>
    </row>
    <row r="391" spans="1:51" s="27" customFormat="1" ht="13.8" hidden="1">
      <c r="A391" s="89"/>
      <c r="B391" s="89"/>
      <c r="C391" s="89"/>
      <c r="D391" s="89"/>
      <c r="E391" s="89"/>
      <c r="F391" s="89"/>
      <c r="G391" s="89"/>
      <c r="H391" s="29"/>
      <c r="I391" s="29"/>
      <c r="J391" s="29"/>
      <c r="K391" s="29"/>
      <c r="L391" s="29"/>
      <c r="M391" s="29"/>
      <c r="N391" s="29"/>
      <c r="O391" s="178"/>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77"/>
      <c r="AM391" s="77"/>
      <c r="AN391" s="77"/>
      <c r="AO391" s="62"/>
      <c r="AP391" s="62"/>
      <c r="AQ391" s="62"/>
      <c r="AR391" s="62"/>
      <c r="AS391" s="62"/>
      <c r="AT391" s="62"/>
      <c r="AU391" s="62"/>
      <c r="AV391" s="62"/>
      <c r="AW391" s="62"/>
      <c r="AX391" s="62"/>
      <c r="AY391" s="62"/>
    </row>
    <row r="392" spans="1:51" s="27" customFormat="1" ht="13.8" hidden="1">
      <c r="A392" s="89"/>
      <c r="B392" s="89"/>
      <c r="C392" s="89"/>
      <c r="D392" s="89"/>
      <c r="E392" s="89"/>
      <c r="F392" s="89"/>
      <c r="G392" s="89"/>
      <c r="H392" s="29"/>
      <c r="I392" s="29"/>
      <c r="J392" s="29"/>
      <c r="K392" s="29"/>
      <c r="L392" s="29"/>
      <c r="M392" s="29"/>
      <c r="N392" s="29"/>
      <c r="O392" s="178"/>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77"/>
      <c r="AM392" s="77"/>
      <c r="AN392" s="77"/>
      <c r="AO392" s="62"/>
      <c r="AP392" s="62"/>
      <c r="AQ392" s="62"/>
      <c r="AR392" s="62"/>
      <c r="AS392" s="62"/>
      <c r="AT392" s="62"/>
      <c r="AU392" s="62"/>
      <c r="AV392" s="62"/>
      <c r="AW392" s="62"/>
      <c r="AX392" s="62"/>
      <c r="AY392" s="62"/>
    </row>
    <row r="393" spans="1:51" s="27" customFormat="1" ht="13.8" hidden="1">
      <c r="A393" s="89"/>
      <c r="B393" s="89"/>
      <c r="C393" s="89"/>
      <c r="D393" s="89"/>
      <c r="E393" s="89"/>
      <c r="F393" s="89"/>
      <c r="G393" s="89"/>
      <c r="H393" s="29"/>
      <c r="I393" s="29"/>
      <c r="J393" s="29"/>
      <c r="K393" s="29"/>
      <c r="L393" s="29"/>
      <c r="M393" s="29"/>
      <c r="N393" s="29"/>
      <c r="O393" s="178"/>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77"/>
      <c r="AM393" s="77"/>
      <c r="AN393" s="77"/>
      <c r="AO393" s="62"/>
      <c r="AP393" s="62"/>
      <c r="AQ393" s="62"/>
      <c r="AR393" s="62"/>
      <c r="AS393" s="62"/>
      <c r="AT393" s="62"/>
      <c r="AU393" s="62"/>
      <c r="AV393" s="62"/>
      <c r="AW393" s="62"/>
      <c r="AX393" s="62"/>
      <c r="AY393" s="62"/>
    </row>
    <row r="394" spans="1:51" s="27" customFormat="1" ht="13.8" hidden="1">
      <c r="A394" s="89"/>
      <c r="B394" s="89"/>
      <c r="C394" s="89"/>
      <c r="D394" s="89"/>
      <c r="E394" s="89"/>
      <c r="F394" s="89"/>
      <c r="G394" s="89"/>
      <c r="H394" s="29"/>
      <c r="I394" s="29"/>
      <c r="J394" s="29"/>
      <c r="K394" s="29"/>
      <c r="L394" s="29"/>
      <c r="M394" s="29"/>
      <c r="N394" s="29"/>
      <c r="O394" s="178"/>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77"/>
      <c r="AM394" s="77"/>
      <c r="AN394" s="77"/>
      <c r="AO394" s="62"/>
      <c r="AP394" s="62"/>
      <c r="AQ394" s="62"/>
      <c r="AR394" s="62"/>
      <c r="AS394" s="62"/>
      <c r="AT394" s="62"/>
      <c r="AU394" s="62"/>
      <c r="AV394" s="62"/>
      <c r="AW394" s="62"/>
      <c r="AX394" s="62"/>
      <c r="AY394" s="62"/>
    </row>
    <row r="395" spans="1:51" s="27" customFormat="1" ht="13.8" hidden="1">
      <c r="A395" s="89"/>
      <c r="B395" s="89"/>
      <c r="C395" s="89"/>
      <c r="D395" s="89"/>
      <c r="E395" s="89"/>
      <c r="F395" s="89"/>
      <c r="G395" s="89"/>
      <c r="H395" s="29"/>
      <c r="I395" s="29"/>
      <c r="J395" s="29"/>
      <c r="K395" s="29"/>
      <c r="L395" s="29"/>
      <c r="M395" s="29"/>
      <c r="N395" s="29"/>
      <c r="O395" s="178"/>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77"/>
      <c r="AM395" s="77"/>
      <c r="AN395" s="77"/>
      <c r="AO395" s="62"/>
      <c r="AP395" s="62"/>
      <c r="AQ395" s="62"/>
      <c r="AR395" s="62"/>
      <c r="AS395" s="62"/>
      <c r="AT395" s="62"/>
      <c r="AU395" s="62"/>
      <c r="AV395" s="62"/>
      <c r="AW395" s="62"/>
      <c r="AX395" s="62"/>
      <c r="AY395" s="62"/>
    </row>
    <row r="396" spans="1:51" s="27" customFormat="1" ht="13.8" hidden="1">
      <c r="A396" s="89"/>
      <c r="B396" s="89"/>
      <c r="C396" s="89"/>
      <c r="D396" s="89"/>
      <c r="E396" s="89"/>
      <c r="F396" s="89"/>
      <c r="G396" s="89"/>
      <c r="H396" s="29"/>
      <c r="I396" s="29"/>
      <c r="J396" s="29"/>
      <c r="K396" s="29"/>
      <c r="L396" s="29"/>
      <c r="M396" s="29"/>
      <c r="N396" s="29"/>
      <c r="O396" s="178"/>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77"/>
      <c r="AM396" s="77"/>
      <c r="AN396" s="77"/>
      <c r="AO396" s="62"/>
      <c r="AP396" s="62"/>
      <c r="AQ396" s="62"/>
      <c r="AR396" s="62"/>
      <c r="AS396" s="62"/>
      <c r="AT396" s="62"/>
      <c r="AU396" s="62"/>
      <c r="AV396" s="62"/>
      <c r="AW396" s="62"/>
      <c r="AX396" s="62"/>
      <c r="AY396" s="62"/>
    </row>
    <row r="397" spans="1:51" s="27" customFormat="1" ht="13.8" hidden="1">
      <c r="A397" s="89"/>
      <c r="B397" s="89"/>
      <c r="C397" s="89"/>
      <c r="D397" s="89"/>
      <c r="E397" s="89"/>
      <c r="F397" s="89"/>
      <c r="G397" s="89"/>
      <c r="H397" s="29"/>
      <c r="I397" s="29"/>
      <c r="J397" s="29"/>
      <c r="K397" s="29"/>
      <c r="L397" s="29"/>
      <c r="M397" s="29"/>
      <c r="N397" s="29"/>
      <c r="O397" s="178"/>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77"/>
      <c r="AM397" s="77"/>
      <c r="AN397" s="77"/>
      <c r="AO397" s="62"/>
      <c r="AP397" s="62"/>
      <c r="AQ397" s="62"/>
      <c r="AR397" s="62"/>
      <c r="AS397" s="62"/>
      <c r="AT397" s="62"/>
      <c r="AU397" s="62"/>
      <c r="AV397" s="62"/>
      <c r="AW397" s="62"/>
      <c r="AX397" s="62"/>
      <c r="AY397" s="62"/>
    </row>
    <row r="398" spans="1:51" s="27" customFormat="1" ht="13.8" hidden="1">
      <c r="A398" s="89"/>
      <c r="B398" s="89"/>
      <c r="C398" s="89"/>
      <c r="D398" s="89"/>
      <c r="E398" s="89"/>
      <c r="F398" s="89"/>
      <c r="G398" s="89"/>
      <c r="H398" s="29"/>
      <c r="I398" s="29"/>
      <c r="J398" s="29"/>
      <c r="K398" s="29"/>
      <c r="L398" s="29"/>
      <c r="M398" s="29"/>
      <c r="N398" s="29"/>
      <c r="O398" s="178"/>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77"/>
      <c r="AM398" s="77"/>
      <c r="AN398" s="77"/>
      <c r="AO398" s="62"/>
      <c r="AP398" s="62"/>
      <c r="AQ398" s="62"/>
      <c r="AR398" s="62"/>
      <c r="AS398" s="62"/>
      <c r="AT398" s="62"/>
      <c r="AU398" s="62"/>
      <c r="AV398" s="62"/>
      <c r="AW398" s="62"/>
      <c r="AX398" s="62"/>
      <c r="AY398" s="62"/>
    </row>
    <row r="399" spans="1:51" s="27" customFormat="1" ht="13.8" hidden="1">
      <c r="A399" s="89"/>
      <c r="B399" s="89"/>
      <c r="C399" s="89"/>
      <c r="D399" s="89"/>
      <c r="E399" s="89"/>
      <c r="F399" s="89"/>
      <c r="G399" s="89"/>
      <c r="H399" s="29"/>
      <c r="I399" s="29"/>
      <c r="J399" s="29"/>
      <c r="K399" s="29"/>
      <c r="L399" s="29"/>
      <c r="M399" s="29"/>
      <c r="N399" s="29"/>
      <c r="O399" s="178"/>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77"/>
      <c r="AM399" s="77"/>
      <c r="AN399" s="77"/>
      <c r="AO399" s="62"/>
      <c r="AP399" s="62"/>
      <c r="AQ399" s="62"/>
      <c r="AR399" s="62"/>
      <c r="AS399" s="62"/>
      <c r="AT399" s="62"/>
      <c r="AU399" s="62"/>
      <c r="AV399" s="62"/>
      <c r="AW399" s="62"/>
      <c r="AX399" s="62"/>
      <c r="AY399" s="62"/>
    </row>
    <row r="400" spans="1:51" s="27" customFormat="1" ht="13.8" hidden="1">
      <c r="A400" s="89"/>
      <c r="B400" s="89"/>
      <c r="C400" s="89"/>
      <c r="D400" s="89"/>
      <c r="E400" s="89"/>
      <c r="F400" s="89"/>
      <c r="G400" s="89"/>
      <c r="H400" s="29"/>
      <c r="I400" s="29"/>
      <c r="J400" s="29"/>
      <c r="K400" s="29"/>
      <c r="L400" s="29"/>
      <c r="M400" s="29"/>
      <c r="N400" s="29"/>
      <c r="O400" s="178"/>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77"/>
      <c r="AM400" s="77"/>
      <c r="AN400" s="77"/>
      <c r="AO400" s="62"/>
      <c r="AP400" s="62"/>
      <c r="AQ400" s="62"/>
      <c r="AR400" s="62"/>
      <c r="AS400" s="62"/>
      <c r="AT400" s="62"/>
      <c r="AU400" s="62"/>
      <c r="AV400" s="62"/>
      <c r="AW400" s="62"/>
      <c r="AX400" s="62"/>
      <c r="AY400" s="62"/>
    </row>
    <row r="401" spans="1:51" s="27" customFormat="1" ht="13.8" hidden="1">
      <c r="A401" s="89"/>
      <c r="B401" s="89"/>
      <c r="C401" s="89"/>
      <c r="D401" s="89"/>
      <c r="E401" s="89"/>
      <c r="F401" s="89"/>
      <c r="G401" s="89"/>
      <c r="H401" s="29"/>
      <c r="I401" s="29"/>
      <c r="J401" s="29"/>
      <c r="K401" s="29"/>
      <c r="L401" s="29"/>
      <c r="M401" s="29"/>
      <c r="N401" s="29"/>
      <c r="O401" s="178"/>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62"/>
      <c r="AP401" s="62"/>
      <c r="AQ401" s="62"/>
      <c r="AR401" s="62"/>
      <c r="AS401" s="62"/>
      <c r="AT401" s="62"/>
      <c r="AU401" s="62"/>
      <c r="AV401" s="62"/>
      <c r="AW401" s="62"/>
      <c r="AX401" s="62"/>
      <c r="AY401" s="62"/>
    </row>
    <row r="402" spans="1:51" s="27" customFormat="1" ht="13.8" hidden="1">
      <c r="A402" s="89"/>
      <c r="B402" s="89"/>
      <c r="C402" s="89"/>
      <c r="D402" s="89"/>
      <c r="E402" s="89"/>
      <c r="F402" s="89"/>
      <c r="G402" s="89"/>
      <c r="H402" s="29"/>
      <c r="I402" s="29"/>
      <c r="J402" s="29"/>
      <c r="K402" s="29"/>
      <c r="L402" s="29"/>
      <c r="M402" s="29"/>
      <c r="N402" s="29"/>
      <c r="O402" s="178"/>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62"/>
      <c r="AP402" s="62"/>
      <c r="AQ402" s="62"/>
      <c r="AR402" s="62"/>
      <c r="AS402" s="62"/>
      <c r="AT402" s="62"/>
      <c r="AU402" s="62"/>
      <c r="AV402" s="62"/>
      <c r="AW402" s="62"/>
      <c r="AX402" s="62"/>
      <c r="AY402" s="62"/>
    </row>
    <row r="403" spans="1:51" s="27" customFormat="1" ht="13.8" hidden="1">
      <c r="A403" s="89"/>
      <c r="B403" s="89"/>
      <c r="C403" s="89"/>
      <c r="D403" s="89"/>
      <c r="E403" s="89"/>
      <c r="F403" s="89"/>
      <c r="G403" s="89"/>
      <c r="H403" s="29"/>
      <c r="I403" s="29"/>
      <c r="J403" s="29"/>
      <c r="K403" s="29"/>
      <c r="L403" s="29"/>
      <c r="M403" s="29"/>
      <c r="N403" s="29"/>
      <c r="O403" s="178"/>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77"/>
      <c r="AM403" s="77"/>
      <c r="AN403" s="77"/>
      <c r="AO403" s="62"/>
      <c r="AP403" s="62"/>
      <c r="AQ403" s="62"/>
      <c r="AR403" s="62"/>
      <c r="AS403" s="62"/>
      <c r="AT403" s="62"/>
      <c r="AU403" s="62"/>
      <c r="AV403" s="62"/>
      <c r="AW403" s="62"/>
      <c r="AX403" s="62"/>
      <c r="AY403" s="62"/>
    </row>
    <row r="404" spans="1:51" s="27" customFormat="1" ht="13.8" hidden="1">
      <c r="A404" s="89"/>
      <c r="B404" s="89"/>
      <c r="C404" s="89"/>
      <c r="D404" s="89"/>
      <c r="E404" s="89"/>
      <c r="F404" s="89"/>
      <c r="G404" s="89"/>
      <c r="H404" s="29"/>
      <c r="I404" s="29"/>
      <c r="J404" s="29"/>
      <c r="K404" s="29"/>
      <c r="L404" s="29"/>
      <c r="M404" s="29"/>
      <c r="N404" s="29"/>
      <c r="O404" s="178"/>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77"/>
      <c r="AM404" s="77"/>
      <c r="AN404" s="77"/>
      <c r="AO404" s="62"/>
      <c r="AP404" s="62"/>
      <c r="AQ404" s="62"/>
      <c r="AR404" s="62"/>
      <c r="AS404" s="62"/>
      <c r="AT404" s="62"/>
      <c r="AU404" s="62"/>
      <c r="AV404" s="62"/>
      <c r="AW404" s="62"/>
      <c r="AX404" s="62"/>
      <c r="AY404" s="62"/>
    </row>
    <row r="405" spans="1:51" s="27" customFormat="1" ht="13.8" hidden="1">
      <c r="A405" s="89"/>
      <c r="B405" s="89"/>
      <c r="C405" s="89"/>
      <c r="D405" s="89"/>
      <c r="E405" s="89"/>
      <c r="F405" s="89"/>
      <c r="G405" s="89"/>
      <c r="H405" s="29"/>
      <c r="I405" s="29"/>
      <c r="J405" s="29"/>
      <c r="K405" s="29"/>
      <c r="L405" s="29"/>
      <c r="M405" s="29"/>
      <c r="N405" s="29"/>
      <c r="O405" s="178"/>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77"/>
      <c r="AM405" s="77"/>
      <c r="AN405" s="77"/>
      <c r="AO405" s="62"/>
      <c r="AP405" s="62"/>
      <c r="AQ405" s="62"/>
      <c r="AR405" s="62"/>
      <c r="AS405" s="62"/>
      <c r="AT405" s="62"/>
      <c r="AU405" s="62"/>
      <c r="AV405" s="62"/>
      <c r="AW405" s="62"/>
      <c r="AX405" s="62"/>
      <c r="AY405" s="62"/>
    </row>
    <row r="406" spans="1:51" s="27" customFormat="1" ht="13.8" hidden="1">
      <c r="A406" s="89"/>
      <c r="B406" s="89"/>
      <c r="C406" s="89"/>
      <c r="D406" s="89"/>
      <c r="E406" s="89"/>
      <c r="F406" s="89"/>
      <c r="G406" s="89"/>
      <c r="H406" s="29"/>
      <c r="I406" s="29"/>
      <c r="J406" s="29"/>
      <c r="K406" s="29"/>
      <c r="L406" s="29"/>
      <c r="M406" s="29"/>
      <c r="N406" s="29"/>
      <c r="O406" s="178"/>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77"/>
      <c r="AM406" s="77"/>
      <c r="AN406" s="77"/>
      <c r="AO406" s="62"/>
      <c r="AP406" s="62"/>
      <c r="AQ406" s="62"/>
      <c r="AR406" s="62"/>
      <c r="AS406" s="62"/>
      <c r="AT406" s="62"/>
      <c r="AU406" s="62"/>
      <c r="AV406" s="62"/>
      <c r="AW406" s="62"/>
      <c r="AX406" s="62"/>
      <c r="AY406" s="62"/>
    </row>
    <row r="407" spans="1:51" s="27" customFormat="1" ht="13.8" hidden="1">
      <c r="A407" s="89"/>
      <c r="B407" s="89"/>
      <c r="C407" s="89"/>
      <c r="D407" s="89"/>
      <c r="E407" s="89"/>
      <c r="F407" s="89"/>
      <c r="G407" s="89"/>
      <c r="H407" s="29"/>
      <c r="I407" s="29"/>
      <c r="J407" s="29"/>
      <c r="K407" s="29"/>
      <c r="L407" s="29"/>
      <c r="M407" s="29"/>
      <c r="N407" s="29"/>
      <c r="O407" s="178"/>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77"/>
      <c r="AM407" s="77"/>
      <c r="AN407" s="77"/>
      <c r="AO407" s="62"/>
      <c r="AP407" s="62"/>
      <c r="AQ407" s="62"/>
      <c r="AR407" s="62"/>
      <c r="AS407" s="62"/>
      <c r="AT407" s="62"/>
      <c r="AU407" s="62"/>
      <c r="AV407" s="62"/>
      <c r="AW407" s="62"/>
      <c r="AX407" s="62"/>
      <c r="AY407" s="62"/>
    </row>
    <row r="408" spans="1:51" s="27" customFormat="1" ht="13.8" hidden="1">
      <c r="A408" s="89"/>
      <c r="B408" s="89"/>
      <c r="C408" s="89"/>
      <c r="D408" s="89"/>
      <c r="E408" s="89"/>
      <c r="F408" s="89"/>
      <c r="G408" s="89"/>
      <c r="H408" s="29"/>
      <c r="I408" s="29"/>
      <c r="J408" s="29"/>
      <c r="K408" s="29"/>
      <c r="L408" s="29"/>
      <c r="M408" s="29"/>
      <c r="N408" s="29"/>
      <c r="O408" s="178"/>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77"/>
      <c r="AM408" s="77"/>
      <c r="AN408" s="77"/>
      <c r="AO408" s="62"/>
      <c r="AP408" s="62"/>
      <c r="AQ408" s="62"/>
      <c r="AR408" s="62"/>
      <c r="AS408" s="62"/>
      <c r="AT408" s="62"/>
      <c r="AU408" s="62"/>
      <c r="AV408" s="62"/>
      <c r="AW408" s="62"/>
      <c r="AX408" s="62"/>
      <c r="AY408" s="62"/>
    </row>
    <row r="409" spans="1:51" s="27" customFormat="1" hidden="1">
      <c r="A409" s="89"/>
      <c r="B409" s="89"/>
      <c r="C409" s="89"/>
      <c r="D409" s="89"/>
      <c r="E409" s="89"/>
      <c r="F409" s="89"/>
      <c r="G409" s="89"/>
      <c r="H409" s="149"/>
      <c r="I409" s="149"/>
      <c r="J409" s="149"/>
      <c r="K409" s="149"/>
      <c r="L409" s="149"/>
      <c r="M409" s="149"/>
      <c r="N409" s="149"/>
      <c r="O409" s="178"/>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77"/>
      <c r="AM409" s="77"/>
      <c r="AN409" s="77"/>
      <c r="AO409" s="62"/>
      <c r="AP409" s="62"/>
      <c r="AQ409" s="62"/>
      <c r="AR409" s="62"/>
      <c r="AS409" s="62"/>
      <c r="AT409" s="62"/>
      <c r="AU409" s="62"/>
      <c r="AV409" s="62"/>
      <c r="AW409" s="62"/>
      <c r="AX409" s="62"/>
      <c r="AY409" s="62"/>
    </row>
    <row r="410" spans="1:51" s="27" customFormat="1" hidden="1">
      <c r="A410" s="89"/>
      <c r="B410" s="89"/>
      <c r="C410" s="89"/>
      <c r="D410" s="89"/>
      <c r="E410" s="89"/>
      <c r="F410" s="89"/>
      <c r="G410" s="89"/>
      <c r="H410" s="149"/>
      <c r="I410" s="149"/>
      <c r="J410" s="149"/>
      <c r="K410" s="149"/>
      <c r="L410" s="149"/>
      <c r="M410" s="149"/>
      <c r="N410" s="149"/>
      <c r="O410" s="178"/>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77"/>
      <c r="AM410" s="77"/>
      <c r="AN410" s="77"/>
      <c r="AO410" s="62"/>
      <c r="AP410" s="62"/>
      <c r="AQ410" s="62"/>
      <c r="AR410" s="62"/>
      <c r="AS410" s="62"/>
      <c r="AT410" s="62"/>
      <c r="AU410" s="62"/>
      <c r="AV410" s="62"/>
      <c r="AW410" s="62"/>
      <c r="AX410" s="62"/>
      <c r="AY410" s="62"/>
    </row>
    <row r="411" spans="1:51" s="27" customFormat="1" hidden="1">
      <c r="A411" s="89"/>
      <c r="B411" s="89"/>
      <c r="C411" s="89"/>
      <c r="D411" s="89"/>
      <c r="E411" s="89"/>
      <c r="F411" s="89"/>
      <c r="G411" s="89"/>
      <c r="H411" s="149"/>
      <c r="I411" s="149"/>
      <c r="J411" s="149"/>
      <c r="K411" s="149"/>
      <c r="L411" s="149"/>
      <c r="M411" s="149"/>
      <c r="N411" s="149"/>
      <c r="O411" s="178"/>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77"/>
      <c r="AM411" s="77"/>
      <c r="AN411" s="77"/>
      <c r="AO411" s="62"/>
      <c r="AP411" s="62"/>
      <c r="AQ411" s="62"/>
      <c r="AR411" s="62"/>
      <c r="AS411" s="62"/>
      <c r="AT411" s="62"/>
      <c r="AU411" s="62"/>
      <c r="AV411" s="62"/>
      <c r="AW411" s="62"/>
      <c r="AX411" s="62"/>
      <c r="AY411" s="62"/>
    </row>
    <row r="412" spans="1:51" s="27" customFormat="1" ht="13.5" hidden="1" customHeight="1">
      <c r="A412" s="89"/>
      <c r="B412" s="89"/>
      <c r="C412" s="89"/>
      <c r="D412" s="89"/>
      <c r="E412" s="89"/>
      <c r="F412" s="151"/>
      <c r="G412" s="89"/>
      <c r="H412" s="149"/>
      <c r="I412" s="149"/>
      <c r="J412" s="149"/>
      <c r="K412" s="149"/>
      <c r="L412" s="149"/>
      <c r="M412" s="149"/>
      <c r="N412" s="149"/>
      <c r="O412" s="178"/>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77"/>
      <c r="AM412" s="77"/>
      <c r="AN412" s="77"/>
      <c r="AO412" s="62"/>
      <c r="AP412" s="62"/>
      <c r="AQ412" s="62"/>
      <c r="AR412" s="62"/>
      <c r="AS412" s="62"/>
      <c r="AT412" s="62"/>
      <c r="AU412" s="62"/>
      <c r="AV412" s="62"/>
      <c r="AW412" s="62"/>
      <c r="AX412" s="62"/>
      <c r="AY412" s="62"/>
    </row>
    <row r="413" spans="1:51" s="27" customFormat="1" hidden="1">
      <c r="A413" s="89"/>
      <c r="B413" s="89"/>
      <c r="C413" s="89"/>
      <c r="D413" s="89"/>
      <c r="E413" s="89"/>
      <c r="F413" s="151"/>
      <c r="G413" s="151"/>
      <c r="H413" s="149"/>
      <c r="I413" s="149"/>
      <c r="J413" s="149"/>
      <c r="K413" s="149"/>
      <c r="L413" s="149"/>
      <c r="M413" s="149"/>
      <c r="N413" s="149"/>
      <c r="O413" s="178"/>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77"/>
      <c r="AM413" s="77"/>
      <c r="AN413" s="77"/>
      <c r="AO413" s="62"/>
      <c r="AP413" s="62"/>
      <c r="AQ413" s="62"/>
      <c r="AR413" s="62"/>
      <c r="AS413" s="62"/>
      <c r="AT413" s="62"/>
      <c r="AU413" s="62"/>
      <c r="AV413" s="62"/>
      <c r="AW413" s="62"/>
      <c r="AX413" s="62"/>
      <c r="AY413" s="62"/>
    </row>
    <row r="414" spans="1:51" s="27" customFormat="1" hidden="1">
      <c r="A414" s="89"/>
      <c r="B414" s="89"/>
      <c r="C414" s="151" t="s">
        <v>78</v>
      </c>
      <c r="D414" s="89"/>
      <c r="E414" s="89"/>
      <c r="F414" s="151"/>
      <c r="G414" s="151"/>
      <c r="H414" s="182"/>
      <c r="I414" s="149"/>
      <c r="J414" s="149"/>
      <c r="K414" s="149"/>
      <c r="L414" s="149"/>
      <c r="M414" s="149"/>
      <c r="N414" s="149"/>
      <c r="O414" s="178"/>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62"/>
      <c r="AP414" s="62"/>
      <c r="AQ414" s="62"/>
      <c r="AR414" s="62"/>
      <c r="AS414" s="62"/>
      <c r="AT414" s="62"/>
      <c r="AU414" s="62"/>
      <c r="AV414" s="62"/>
      <c r="AW414" s="62"/>
      <c r="AX414" s="62"/>
      <c r="AY414" s="62"/>
    </row>
    <row r="415" spans="1:51" s="27" customFormat="1" hidden="1">
      <c r="A415" s="151"/>
      <c r="B415" s="180" t="s">
        <v>77</v>
      </c>
      <c r="C415" s="180" t="s">
        <v>79</v>
      </c>
      <c r="D415" s="180" t="s">
        <v>79</v>
      </c>
      <c r="E415" s="180" t="s">
        <v>80</v>
      </c>
      <c r="F415" s="180" t="s">
        <v>95</v>
      </c>
      <c r="G415" s="180" t="s">
        <v>96</v>
      </c>
      <c r="H415" s="181" t="s">
        <v>97</v>
      </c>
      <c r="I415" s="181" t="s">
        <v>186</v>
      </c>
      <c r="J415" s="181" t="s">
        <v>236</v>
      </c>
      <c r="K415" s="181" t="s">
        <v>218</v>
      </c>
      <c r="L415" s="149"/>
      <c r="M415" s="149"/>
      <c r="N415" s="149"/>
      <c r="O415" s="178"/>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62"/>
      <c r="AP415" s="62"/>
      <c r="AQ415" s="62"/>
      <c r="AR415" s="62"/>
      <c r="AS415" s="62"/>
      <c r="AT415" s="62"/>
      <c r="AU415" s="62"/>
      <c r="AV415" s="62"/>
      <c r="AW415" s="62"/>
      <c r="AX415" s="62"/>
      <c r="AY415" s="62"/>
    </row>
    <row r="416" spans="1:51" s="27" customFormat="1" hidden="1">
      <c r="A416" s="179" t="s">
        <v>156</v>
      </c>
      <c r="B416" s="328">
        <v>29224340</v>
      </c>
      <c r="C416" s="329">
        <v>32283779</v>
      </c>
      <c r="D416" s="328">
        <v>32283779</v>
      </c>
      <c r="E416" s="328">
        <v>36103656</v>
      </c>
      <c r="F416" s="328">
        <v>36088740</v>
      </c>
      <c r="G416" s="328">
        <v>39072483</v>
      </c>
      <c r="H416" s="330">
        <v>39564221</v>
      </c>
      <c r="I416" s="328">
        <v>40652318</v>
      </c>
      <c r="J416" s="383">
        <v>43026190</v>
      </c>
      <c r="K416" s="331">
        <v>45538272.107807383</v>
      </c>
      <c r="L416" s="149"/>
      <c r="M416" s="149"/>
      <c r="N416" s="149"/>
      <c r="O416" s="178"/>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62"/>
      <c r="AP416" s="62"/>
      <c r="AQ416" s="62"/>
      <c r="AR416" s="62"/>
      <c r="AS416" s="62"/>
      <c r="AT416" s="62"/>
      <c r="AU416" s="62"/>
      <c r="AV416" s="62"/>
      <c r="AW416" s="62"/>
      <c r="AX416" s="62"/>
      <c r="AY416" s="62"/>
    </row>
    <row r="417" spans="1:51" s="27" customFormat="1" hidden="1">
      <c r="A417" s="179" t="s">
        <v>157</v>
      </c>
      <c r="B417" s="328">
        <v>29224340</v>
      </c>
      <c r="C417" s="329">
        <v>32283779</v>
      </c>
      <c r="D417" s="328">
        <v>32283779</v>
      </c>
      <c r="E417" s="328">
        <v>36103656</v>
      </c>
      <c r="F417" s="328">
        <v>36088740</v>
      </c>
      <c r="G417" s="328">
        <v>39072483</v>
      </c>
      <c r="H417" s="330">
        <v>39564221</v>
      </c>
      <c r="I417" s="328">
        <v>40652318</v>
      </c>
      <c r="J417" s="383">
        <v>43026190</v>
      </c>
      <c r="K417" s="331">
        <v>45538272.107807383</v>
      </c>
      <c r="L417" s="149"/>
      <c r="M417" s="149"/>
      <c r="N417" s="149"/>
      <c r="O417" s="178"/>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77"/>
      <c r="AM417" s="77"/>
      <c r="AN417" s="77"/>
      <c r="AO417" s="62"/>
      <c r="AP417" s="62"/>
      <c r="AQ417" s="62"/>
      <c r="AR417" s="62"/>
      <c r="AS417" s="62"/>
      <c r="AT417" s="62"/>
      <c r="AU417" s="62"/>
      <c r="AV417" s="62"/>
      <c r="AW417" s="62"/>
      <c r="AX417" s="62"/>
      <c r="AY417" s="62"/>
    </row>
    <row r="418" spans="1:51" s="27" customFormat="1" hidden="1">
      <c r="A418" s="179" t="s">
        <v>158</v>
      </c>
      <c r="B418" s="328">
        <v>29224340</v>
      </c>
      <c r="C418" s="329">
        <v>32283779</v>
      </c>
      <c r="D418" s="328">
        <v>32283779</v>
      </c>
      <c r="E418" s="328">
        <v>36103656</v>
      </c>
      <c r="F418" s="328">
        <v>36088740</v>
      </c>
      <c r="G418" s="328">
        <v>39072483</v>
      </c>
      <c r="H418" s="330">
        <v>39564221</v>
      </c>
      <c r="I418" s="328">
        <v>40652318</v>
      </c>
      <c r="J418" s="383">
        <v>43026190</v>
      </c>
      <c r="K418" s="331">
        <v>45538272.107807383</v>
      </c>
      <c r="L418" s="149"/>
      <c r="M418" s="149"/>
      <c r="N418" s="149"/>
      <c r="O418" s="178"/>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77"/>
      <c r="AM418" s="77"/>
      <c r="AN418" s="77"/>
      <c r="AO418" s="62"/>
      <c r="AP418" s="62"/>
      <c r="AQ418" s="62"/>
      <c r="AR418" s="62"/>
      <c r="AS418" s="62"/>
      <c r="AT418" s="62"/>
      <c r="AU418" s="62"/>
      <c r="AV418" s="62"/>
      <c r="AW418" s="62"/>
      <c r="AX418" s="62"/>
      <c r="AY418" s="62"/>
    </row>
    <row r="419" spans="1:51" s="27" customFormat="1" hidden="1">
      <c r="A419" s="179" t="s">
        <v>159</v>
      </c>
      <c r="B419" s="328">
        <v>29224340</v>
      </c>
      <c r="C419" s="329">
        <v>32283779</v>
      </c>
      <c r="D419" s="328">
        <v>32283779</v>
      </c>
      <c r="E419" s="328">
        <v>36103656</v>
      </c>
      <c r="F419" s="328">
        <v>36088740</v>
      </c>
      <c r="G419" s="328">
        <v>39072483</v>
      </c>
      <c r="H419" s="330">
        <v>39564221</v>
      </c>
      <c r="I419" s="328">
        <v>40652318</v>
      </c>
      <c r="J419" s="383">
        <v>43026190</v>
      </c>
      <c r="K419" s="331">
        <v>45538272.107807383</v>
      </c>
      <c r="L419" s="149"/>
      <c r="M419" s="149"/>
      <c r="N419" s="149"/>
      <c r="O419" s="178"/>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77"/>
      <c r="AM419" s="77"/>
      <c r="AN419" s="77"/>
      <c r="AO419" s="62"/>
      <c r="AP419" s="62"/>
      <c r="AQ419" s="62"/>
      <c r="AR419" s="62"/>
      <c r="AS419" s="62"/>
      <c r="AT419" s="62"/>
      <c r="AU419" s="62"/>
      <c r="AV419" s="62"/>
      <c r="AW419" s="62"/>
      <c r="AX419" s="62"/>
      <c r="AY419" s="62"/>
    </row>
    <row r="420" spans="1:51" s="27" customFormat="1" hidden="1">
      <c r="A420" s="179" t="s">
        <v>160</v>
      </c>
      <c r="B420" s="328">
        <v>29224340</v>
      </c>
      <c r="C420" s="329">
        <v>32283779</v>
      </c>
      <c r="D420" s="328">
        <v>32283779</v>
      </c>
      <c r="E420" s="328">
        <v>36103656</v>
      </c>
      <c r="F420" s="328">
        <v>36088740</v>
      </c>
      <c r="G420" s="328">
        <v>39072483</v>
      </c>
      <c r="H420" s="330">
        <v>39564221</v>
      </c>
      <c r="I420" s="328">
        <v>40652318</v>
      </c>
      <c r="J420" s="383">
        <v>43026190</v>
      </c>
      <c r="K420" s="331">
        <v>45538272.107807383</v>
      </c>
      <c r="L420" s="149"/>
      <c r="M420" s="149"/>
      <c r="N420" s="149"/>
      <c r="O420" s="178"/>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77"/>
      <c r="AM420" s="77"/>
      <c r="AN420" s="77"/>
      <c r="AO420" s="62"/>
      <c r="AP420" s="62"/>
      <c r="AQ420" s="62"/>
      <c r="AR420" s="62"/>
      <c r="AS420" s="62"/>
      <c r="AT420" s="62"/>
      <c r="AU420" s="62"/>
      <c r="AV420" s="62"/>
      <c r="AW420" s="62"/>
      <c r="AX420" s="62"/>
      <c r="AY420" s="62"/>
    </row>
    <row r="421" spans="1:51" s="27" customFormat="1" hidden="1">
      <c r="A421" s="179" t="s">
        <v>161</v>
      </c>
      <c r="B421" s="328">
        <v>29224340</v>
      </c>
      <c r="C421" s="329">
        <v>32283779</v>
      </c>
      <c r="D421" s="328">
        <v>32283779</v>
      </c>
      <c r="E421" s="328">
        <v>36103656</v>
      </c>
      <c r="F421" s="328">
        <v>36088740</v>
      </c>
      <c r="G421" s="328">
        <v>39072483</v>
      </c>
      <c r="H421" s="330">
        <v>39564221</v>
      </c>
      <c r="I421" s="328">
        <v>40652318</v>
      </c>
      <c r="J421" s="383">
        <v>43026190</v>
      </c>
      <c r="K421" s="331">
        <v>45538272.107807383</v>
      </c>
      <c r="L421" s="149"/>
      <c r="M421" s="149"/>
      <c r="N421" s="149"/>
      <c r="O421" s="178"/>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77"/>
      <c r="AM421" s="77"/>
      <c r="AN421" s="77"/>
      <c r="AO421" s="62"/>
      <c r="AP421" s="62"/>
      <c r="AQ421" s="62"/>
      <c r="AR421" s="62"/>
      <c r="AS421" s="62"/>
      <c r="AT421" s="62"/>
      <c r="AU421" s="62"/>
      <c r="AV421" s="62"/>
      <c r="AW421" s="62"/>
      <c r="AX421" s="62"/>
      <c r="AY421" s="62"/>
    </row>
    <row r="422" spans="1:51" s="27" customFormat="1" hidden="1">
      <c r="A422" s="179" t="s">
        <v>162</v>
      </c>
      <c r="B422" s="328">
        <v>29224340</v>
      </c>
      <c r="C422" s="329">
        <v>32283779</v>
      </c>
      <c r="D422" s="328">
        <v>32283779</v>
      </c>
      <c r="E422" s="328">
        <v>36103656</v>
      </c>
      <c r="F422" s="328">
        <v>36088740</v>
      </c>
      <c r="G422" s="328">
        <v>39072483</v>
      </c>
      <c r="H422" s="330">
        <v>39564221</v>
      </c>
      <c r="I422" s="328">
        <v>40652318</v>
      </c>
      <c r="J422" s="383">
        <v>43026190</v>
      </c>
      <c r="K422" s="331">
        <v>45538272.107807383</v>
      </c>
      <c r="L422" s="149"/>
      <c r="M422" s="149"/>
      <c r="N422" s="149"/>
      <c r="O422" s="178"/>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77"/>
      <c r="AM422" s="77"/>
      <c r="AN422" s="77"/>
      <c r="AO422" s="62"/>
      <c r="AP422" s="62"/>
      <c r="AQ422" s="62"/>
      <c r="AR422" s="62"/>
      <c r="AS422" s="62"/>
      <c r="AT422" s="62"/>
      <c r="AU422" s="62"/>
      <c r="AV422" s="62"/>
      <c r="AW422" s="62"/>
      <c r="AX422" s="62"/>
      <c r="AY422" s="62"/>
    </row>
    <row r="423" spans="1:51" s="27" customFormat="1" hidden="1">
      <c r="A423" s="179" t="s">
        <v>163</v>
      </c>
      <c r="B423" s="328">
        <v>29224340</v>
      </c>
      <c r="C423" s="329">
        <v>32283779</v>
      </c>
      <c r="D423" s="328">
        <v>32283779</v>
      </c>
      <c r="E423" s="328">
        <v>36103656</v>
      </c>
      <c r="F423" s="328">
        <v>36088740</v>
      </c>
      <c r="G423" s="328">
        <v>39072483</v>
      </c>
      <c r="H423" s="330">
        <v>39564221</v>
      </c>
      <c r="I423" s="328">
        <v>40652318</v>
      </c>
      <c r="J423" s="383">
        <v>43026190</v>
      </c>
      <c r="K423" s="331">
        <v>45538272.107807383</v>
      </c>
      <c r="L423" s="149"/>
      <c r="M423" s="149"/>
      <c r="N423" s="149"/>
      <c r="O423" s="178"/>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77"/>
      <c r="AM423" s="77"/>
      <c r="AN423" s="77"/>
      <c r="AO423" s="62"/>
      <c r="AP423" s="62"/>
      <c r="AQ423" s="62"/>
      <c r="AR423" s="62"/>
      <c r="AS423" s="62"/>
      <c r="AT423" s="62"/>
      <c r="AU423" s="62"/>
      <c r="AV423" s="62"/>
      <c r="AW423" s="62"/>
      <c r="AX423" s="62"/>
      <c r="AY423" s="62"/>
    </row>
    <row r="424" spans="1:51" s="27" customFormat="1" hidden="1">
      <c r="A424" s="179" t="s">
        <v>164</v>
      </c>
      <c r="B424" s="328">
        <v>29224340</v>
      </c>
      <c r="C424" s="329">
        <v>32283779</v>
      </c>
      <c r="D424" s="328">
        <v>32283779</v>
      </c>
      <c r="E424" s="328">
        <v>36103656</v>
      </c>
      <c r="F424" s="328">
        <v>36088740</v>
      </c>
      <c r="G424" s="328">
        <v>39072483</v>
      </c>
      <c r="H424" s="330">
        <v>39564221</v>
      </c>
      <c r="I424" s="328">
        <v>40652318</v>
      </c>
      <c r="J424" s="383">
        <v>43026190</v>
      </c>
      <c r="K424" s="331">
        <v>45538272.107807383</v>
      </c>
      <c r="L424" s="149"/>
      <c r="M424" s="149"/>
      <c r="N424" s="149"/>
      <c r="O424" s="178"/>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77"/>
      <c r="AM424" s="77"/>
      <c r="AN424" s="77"/>
      <c r="AO424" s="62"/>
      <c r="AP424" s="62"/>
      <c r="AQ424" s="62"/>
      <c r="AR424" s="62"/>
      <c r="AS424" s="62"/>
      <c r="AT424" s="62"/>
      <c r="AU424" s="62"/>
      <c r="AV424" s="62"/>
      <c r="AW424" s="62"/>
      <c r="AX424" s="62"/>
      <c r="AY424" s="62"/>
    </row>
    <row r="425" spans="1:51" s="27" customFormat="1" hidden="1">
      <c r="A425" s="179" t="s">
        <v>165</v>
      </c>
      <c r="B425" s="328">
        <v>29224340</v>
      </c>
      <c r="C425" s="329">
        <v>32283779</v>
      </c>
      <c r="D425" s="328">
        <v>32283779</v>
      </c>
      <c r="E425" s="328">
        <v>36103656</v>
      </c>
      <c r="F425" s="328">
        <v>36088740</v>
      </c>
      <c r="G425" s="328">
        <v>39072483</v>
      </c>
      <c r="H425" s="330">
        <v>39564221</v>
      </c>
      <c r="I425" s="328">
        <v>40652318</v>
      </c>
      <c r="J425" s="383">
        <v>43026190</v>
      </c>
      <c r="K425" s="331">
        <v>45538272.107807383</v>
      </c>
      <c r="L425" s="149"/>
      <c r="M425" s="149"/>
      <c r="N425" s="149"/>
      <c r="O425" s="178"/>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77"/>
      <c r="AM425" s="77"/>
      <c r="AN425" s="77"/>
      <c r="AO425" s="62"/>
      <c r="AP425" s="62"/>
      <c r="AQ425" s="62"/>
      <c r="AR425" s="62"/>
      <c r="AS425" s="62"/>
      <c r="AT425" s="62"/>
      <c r="AU425" s="62"/>
      <c r="AV425" s="62"/>
      <c r="AW425" s="62"/>
      <c r="AX425" s="62"/>
      <c r="AY425" s="62"/>
    </row>
    <row r="426" spans="1:51" s="27" customFormat="1" hidden="1">
      <c r="A426" s="179" t="s">
        <v>166</v>
      </c>
      <c r="B426" s="328">
        <v>29224340</v>
      </c>
      <c r="C426" s="329">
        <v>32283779</v>
      </c>
      <c r="D426" s="328">
        <v>32283779</v>
      </c>
      <c r="E426" s="328">
        <v>36103656</v>
      </c>
      <c r="F426" s="328">
        <v>36088740</v>
      </c>
      <c r="G426" s="328">
        <v>39072483</v>
      </c>
      <c r="H426" s="330">
        <v>39564221</v>
      </c>
      <c r="I426" s="328">
        <v>40652318</v>
      </c>
      <c r="J426" s="383">
        <v>43026190</v>
      </c>
      <c r="K426" s="331">
        <v>45538272.107807383</v>
      </c>
      <c r="L426" s="149"/>
      <c r="M426" s="149"/>
      <c r="N426" s="149"/>
      <c r="O426" s="178"/>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77"/>
      <c r="AM426" s="77"/>
      <c r="AN426" s="77"/>
      <c r="AO426" s="62"/>
      <c r="AP426" s="62"/>
      <c r="AQ426" s="62"/>
      <c r="AR426" s="62"/>
      <c r="AS426" s="62"/>
      <c r="AT426" s="62"/>
      <c r="AU426" s="62"/>
      <c r="AV426" s="62"/>
      <c r="AW426" s="62"/>
      <c r="AX426" s="62"/>
      <c r="AY426" s="62"/>
    </row>
    <row r="427" spans="1:51" s="27" customFormat="1" hidden="1">
      <c r="A427" s="179" t="s">
        <v>167</v>
      </c>
      <c r="B427" s="328">
        <v>29224340</v>
      </c>
      <c r="C427" s="329">
        <v>32283779</v>
      </c>
      <c r="D427" s="328">
        <v>32283779</v>
      </c>
      <c r="E427" s="328">
        <v>36103656</v>
      </c>
      <c r="F427" s="328">
        <v>36088740</v>
      </c>
      <c r="G427" s="328">
        <v>39072483</v>
      </c>
      <c r="H427" s="330">
        <v>39564221</v>
      </c>
      <c r="I427" s="328">
        <v>40652318</v>
      </c>
      <c r="J427" s="383">
        <v>43026190</v>
      </c>
      <c r="K427" s="331">
        <v>45538272.107807383</v>
      </c>
      <c r="L427" s="149"/>
      <c r="M427" s="149"/>
      <c r="N427" s="149"/>
      <c r="O427" s="178"/>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77"/>
      <c r="AM427" s="77"/>
      <c r="AN427" s="77"/>
      <c r="AO427" s="62"/>
      <c r="AP427" s="62"/>
      <c r="AQ427" s="62"/>
      <c r="AR427" s="62"/>
      <c r="AS427" s="62"/>
      <c r="AT427" s="62"/>
      <c r="AU427" s="62"/>
      <c r="AV427" s="62"/>
      <c r="AW427" s="62"/>
      <c r="AX427" s="62"/>
      <c r="AY427" s="62"/>
    </row>
    <row r="428" spans="1:51" s="27" customFormat="1" hidden="1">
      <c r="A428" s="89"/>
      <c r="B428" s="126"/>
      <c r="C428" s="126"/>
      <c r="D428" s="126"/>
      <c r="E428" s="126"/>
      <c r="F428" s="126"/>
      <c r="G428" s="126"/>
      <c r="H428" s="126"/>
      <c r="I428" s="126"/>
      <c r="J428"/>
      <c r="K428" s="149"/>
      <c r="L428" s="149"/>
      <c r="M428" s="149"/>
      <c r="N428" s="149"/>
      <c r="O428" s="178"/>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77"/>
      <c r="AM428" s="77"/>
      <c r="AN428" s="77"/>
      <c r="AO428" s="62"/>
      <c r="AP428" s="62"/>
      <c r="AQ428" s="62"/>
      <c r="AR428" s="62"/>
      <c r="AS428" s="62"/>
      <c r="AT428" s="62"/>
      <c r="AU428" s="62"/>
      <c r="AV428" s="62"/>
      <c r="AW428" s="62"/>
      <c r="AX428" s="62"/>
      <c r="AY428" s="62"/>
    </row>
    <row r="429" spans="1:51" s="27" customFormat="1" hidden="1">
      <c r="A429" s="89"/>
      <c r="B429" s="89"/>
      <c r="C429" s="89"/>
      <c r="D429" s="89"/>
      <c r="E429" s="89"/>
      <c r="F429" s="89"/>
      <c r="G429" s="89"/>
      <c r="H429" s="149"/>
      <c r="I429" s="149"/>
      <c r="J429" s="149"/>
      <c r="K429" s="149"/>
      <c r="L429" s="149"/>
      <c r="M429" s="149"/>
      <c r="N429" s="149"/>
      <c r="O429" s="178"/>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77"/>
      <c r="AM429" s="77"/>
      <c r="AN429" s="77"/>
      <c r="AO429" s="62"/>
      <c r="AP429" s="62"/>
      <c r="AQ429" s="62"/>
      <c r="AR429" s="62"/>
      <c r="AS429" s="62"/>
      <c r="AT429" s="62"/>
      <c r="AU429" s="62"/>
      <c r="AV429" s="62"/>
      <c r="AW429" s="62"/>
      <c r="AX429" s="62"/>
      <c r="AY429" s="62"/>
    </row>
    <row r="430" spans="1:51" s="27" customFormat="1" hidden="1">
      <c r="A430" s="149"/>
      <c r="B430" s="149"/>
      <c r="C430" s="149"/>
      <c r="D430" s="149"/>
      <c r="E430" s="149"/>
      <c r="F430" s="149"/>
      <c r="G430" s="149"/>
      <c r="H430" s="149"/>
      <c r="I430" s="175" t="s">
        <v>241</v>
      </c>
      <c r="J430" s="176"/>
      <c r="K430" s="176"/>
      <c r="L430" s="177"/>
      <c r="M430" s="177"/>
      <c r="N430" s="149"/>
      <c r="O430" s="178"/>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77"/>
      <c r="AM430" s="77"/>
      <c r="AN430" s="77"/>
      <c r="AO430" s="62"/>
      <c r="AP430" s="62"/>
      <c r="AQ430" s="62"/>
      <c r="AR430" s="62"/>
      <c r="AS430" s="62"/>
      <c r="AT430" s="62"/>
      <c r="AU430" s="62"/>
      <c r="AV430" s="62"/>
      <c r="AW430" s="62"/>
      <c r="AX430" s="62"/>
      <c r="AY430" s="62"/>
    </row>
    <row r="431" spans="1:51" s="27" customFormat="1" hidden="1">
      <c r="A431" s="149"/>
      <c r="B431" s="149"/>
      <c r="C431" s="149"/>
      <c r="D431" s="149"/>
      <c r="E431" s="149"/>
      <c r="F431" s="149"/>
      <c r="G431" s="149"/>
      <c r="H431" s="149"/>
      <c r="I431" s="149" t="s">
        <v>214</v>
      </c>
      <c r="J431" s="149"/>
      <c r="K431" s="149"/>
      <c r="L431" s="149"/>
      <c r="M431" s="149"/>
      <c r="N431" s="149"/>
      <c r="O431" s="178"/>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77"/>
      <c r="AM431" s="77"/>
      <c r="AN431" s="77"/>
      <c r="AO431" s="62"/>
      <c r="AP431" s="62"/>
      <c r="AQ431" s="62"/>
      <c r="AR431" s="62"/>
      <c r="AS431" s="62"/>
      <c r="AT431" s="62"/>
      <c r="AU431" s="62"/>
      <c r="AV431" s="62"/>
      <c r="AW431" s="62"/>
      <c r="AX431" s="62"/>
      <c r="AY431" s="62"/>
    </row>
    <row r="432" spans="1:51" s="27" customFormat="1" hidden="1">
      <c r="A432" s="149"/>
      <c r="B432" s="149"/>
      <c r="C432" s="149"/>
      <c r="D432" s="149"/>
      <c r="E432" s="149"/>
      <c r="F432" s="149"/>
      <c r="G432" s="149"/>
      <c r="H432" s="149"/>
      <c r="I432" s="286" t="s">
        <v>242</v>
      </c>
      <c r="J432" s="149"/>
      <c r="K432" s="149"/>
      <c r="L432" s="149"/>
      <c r="M432" s="149"/>
      <c r="N432" s="149"/>
      <c r="O432" s="178"/>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77"/>
      <c r="AM432" s="77"/>
      <c r="AN432" s="77"/>
      <c r="AO432" s="62"/>
      <c r="AP432" s="62"/>
      <c r="AQ432" s="62"/>
      <c r="AR432" s="62"/>
      <c r="AS432" s="62"/>
      <c r="AT432" s="62"/>
      <c r="AU432" s="62"/>
      <c r="AV432" s="62"/>
      <c r="AW432" s="62"/>
      <c r="AX432" s="62"/>
      <c r="AY432" s="62"/>
    </row>
    <row r="433" spans="1:51" s="27" customFormat="1" hidden="1">
      <c r="A433" s="149"/>
      <c r="B433" s="149"/>
      <c r="C433" s="149"/>
      <c r="D433" s="149"/>
      <c r="E433" s="149"/>
      <c r="F433" s="149"/>
      <c r="G433" s="149"/>
      <c r="H433" s="149"/>
      <c r="I433" s="149"/>
      <c r="J433" s="149"/>
      <c r="K433" s="149"/>
      <c r="L433" s="149"/>
      <c r="M433" s="149"/>
      <c r="N433" s="149"/>
      <c r="O433" s="178"/>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77"/>
      <c r="AM433" s="77"/>
      <c r="AN433" s="77"/>
      <c r="AO433" s="62"/>
      <c r="AP433" s="62"/>
      <c r="AQ433" s="62"/>
      <c r="AR433" s="62"/>
      <c r="AS433" s="62"/>
      <c r="AT433" s="62"/>
      <c r="AU433" s="62"/>
      <c r="AV433" s="62"/>
      <c r="AW433" s="62"/>
      <c r="AX433" s="62"/>
      <c r="AY433" s="62"/>
    </row>
    <row r="434" spans="1:51" s="27" customFormat="1" hidden="1">
      <c r="A434" s="149"/>
      <c r="B434" s="149"/>
      <c r="C434" s="149"/>
      <c r="D434" s="149"/>
      <c r="E434" s="149"/>
      <c r="F434" s="149"/>
      <c r="G434" s="149"/>
      <c r="H434" s="149"/>
      <c r="I434" s="149"/>
      <c r="J434" s="149"/>
      <c r="K434" s="149"/>
      <c r="L434" s="149"/>
      <c r="M434" s="149"/>
      <c r="N434" s="149"/>
      <c r="O434" s="178"/>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77"/>
      <c r="AM434" s="77"/>
      <c r="AN434" s="77"/>
      <c r="AO434" s="62"/>
      <c r="AP434" s="62"/>
      <c r="AQ434" s="62"/>
      <c r="AR434" s="62"/>
      <c r="AS434" s="62"/>
      <c r="AT434" s="62"/>
      <c r="AU434" s="62"/>
      <c r="AV434" s="62"/>
      <c r="AW434" s="62"/>
      <c r="AX434" s="62"/>
      <c r="AY434" s="62"/>
    </row>
    <row r="435" spans="1:51" s="27" customFormat="1" hidden="1">
      <c r="A435" s="89"/>
      <c r="B435" s="89"/>
      <c r="C435" s="89"/>
      <c r="D435" s="89"/>
      <c r="E435" s="89"/>
      <c r="F435" s="151"/>
      <c r="G435" s="151"/>
      <c r="H435" s="149"/>
      <c r="I435" s="149"/>
      <c r="J435" s="149"/>
      <c r="K435" s="149"/>
      <c r="L435" s="149"/>
      <c r="M435" s="149"/>
      <c r="N435" s="149"/>
      <c r="O435" s="178"/>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77"/>
      <c r="AM435" s="77"/>
      <c r="AN435" s="77"/>
      <c r="AO435" s="62"/>
      <c r="AP435" s="62"/>
      <c r="AQ435" s="62"/>
      <c r="AR435" s="62"/>
      <c r="AS435" s="62"/>
      <c r="AT435" s="62"/>
      <c r="AU435" s="62"/>
      <c r="AV435" s="62"/>
      <c r="AW435" s="62"/>
      <c r="AX435" s="62"/>
      <c r="AY435" s="62"/>
    </row>
    <row r="436" spans="1:51" s="27" customFormat="1" hidden="1">
      <c r="A436" s="89"/>
      <c r="B436" s="89"/>
      <c r="C436" s="89"/>
      <c r="D436" s="89"/>
      <c r="E436" s="128"/>
      <c r="F436" s="217"/>
      <c r="G436" s="217"/>
      <c r="H436" s="154"/>
      <c r="I436" s="154"/>
      <c r="J436" s="149"/>
      <c r="K436" s="149"/>
      <c r="L436" s="149"/>
      <c r="M436" s="149"/>
      <c r="N436" s="149"/>
      <c r="O436" s="178"/>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77"/>
      <c r="AM436" s="77"/>
      <c r="AN436" s="77"/>
      <c r="AO436" s="62"/>
      <c r="AP436" s="62"/>
      <c r="AQ436" s="62"/>
      <c r="AR436" s="62"/>
      <c r="AS436" s="62"/>
      <c r="AT436" s="62"/>
      <c r="AU436" s="62"/>
      <c r="AV436" s="62"/>
      <c r="AW436" s="62"/>
      <c r="AX436" s="62"/>
      <c r="AY436" s="62"/>
    </row>
    <row r="437" spans="1:51" s="27" customFormat="1" hidden="1">
      <c r="A437" s="89"/>
      <c r="B437" s="89"/>
      <c r="C437" s="89"/>
      <c r="D437" s="89"/>
      <c r="E437" s="128"/>
      <c r="F437" s="128"/>
      <c r="G437" s="128"/>
      <c r="H437" s="128"/>
      <c r="I437" s="128"/>
      <c r="J437" s="149"/>
      <c r="K437" s="149"/>
      <c r="L437" s="149"/>
      <c r="M437" s="149"/>
      <c r="N437" s="149"/>
      <c r="O437" s="178"/>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77"/>
      <c r="AM437" s="77"/>
      <c r="AN437" s="77"/>
      <c r="AO437" s="62"/>
      <c r="AP437" s="62"/>
      <c r="AQ437" s="62"/>
      <c r="AR437" s="62"/>
      <c r="AS437" s="62"/>
      <c r="AT437" s="62"/>
      <c r="AU437" s="62"/>
      <c r="AV437" s="62"/>
      <c r="AW437" s="62"/>
      <c r="AX437" s="62"/>
      <c r="AY437" s="62"/>
    </row>
    <row r="438" spans="1:51" s="27" customFormat="1" hidden="1">
      <c r="A438" s="89"/>
      <c r="B438" s="89"/>
      <c r="C438" s="89"/>
      <c r="D438" s="89"/>
      <c r="E438" s="89"/>
      <c r="F438" s="151"/>
      <c r="G438" s="151"/>
      <c r="H438" s="149"/>
      <c r="I438" s="149"/>
      <c r="J438" s="149"/>
      <c r="K438" s="149"/>
      <c r="L438" s="149"/>
      <c r="M438" s="149"/>
      <c r="N438"/>
      <c r="O438" s="178"/>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77"/>
      <c r="AM438" s="77"/>
      <c r="AN438" s="77"/>
      <c r="AO438" s="62"/>
      <c r="AP438" s="62"/>
      <c r="AQ438" s="62"/>
      <c r="AR438" s="62"/>
      <c r="AS438" s="62"/>
      <c r="AT438" s="62"/>
      <c r="AU438" s="62"/>
      <c r="AV438" s="62"/>
      <c r="AW438" s="62"/>
      <c r="AX438" s="62"/>
      <c r="AY438" s="62"/>
    </row>
  </sheetData>
  <mergeCells count="30">
    <mergeCell ref="B294:C294"/>
    <mergeCell ref="D294:E294"/>
    <mergeCell ref="A256:F256"/>
    <mergeCell ref="B257:C257"/>
    <mergeCell ref="D257:E257"/>
    <mergeCell ref="A293:F293"/>
    <mergeCell ref="A331:F331"/>
    <mergeCell ref="B332:C332"/>
    <mergeCell ref="D332:E332"/>
    <mergeCell ref="A372:F372"/>
    <mergeCell ref="B373:C373"/>
    <mergeCell ref="D373:E373"/>
    <mergeCell ref="A176:F176"/>
    <mergeCell ref="B177:C177"/>
    <mergeCell ref="D177:E177"/>
    <mergeCell ref="A217:F217"/>
    <mergeCell ref="B218:C218"/>
    <mergeCell ref="D218:E218"/>
    <mergeCell ref="A18:F18"/>
    <mergeCell ref="A136:F136"/>
    <mergeCell ref="B137:C137"/>
    <mergeCell ref="D137:E137"/>
    <mergeCell ref="B19:C19"/>
    <mergeCell ref="D19:E19"/>
    <mergeCell ref="A57:F57"/>
    <mergeCell ref="B58:C58"/>
    <mergeCell ref="D58:E58"/>
    <mergeCell ref="A96:F96"/>
    <mergeCell ref="B97:C97"/>
    <mergeCell ref="D97:E97"/>
  </mergeCells>
  <phoneticPr fontId="86" type="noConversion"/>
  <pageMargins left="0.70866141732283472" right="0.70866141732283472" top="0.74803149606299213" bottom="0.74803149606299213" header="0.31496062992125984" footer="0.31496062992125984"/>
  <pageSetup paperSize="9" orientation="portrait" r:id="rId1"/>
  <rowBreaks count="7" manualBreakCount="7">
    <brk id="56" max="16383" man="1"/>
    <brk id="95" max="16383" man="1"/>
    <brk id="135" max="16383" man="1"/>
    <brk id="175" max="16383" man="1"/>
    <brk id="216" max="16383" man="1"/>
    <brk id="330" max="16383" man="1"/>
    <brk id="371"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C37"/>
  <sheetViews>
    <sheetView zoomScale="80" zoomScaleNormal="80" workbookViewId="0">
      <pane xSplit="1" topLeftCell="EK1" activePane="topRight" state="frozen"/>
      <selection pane="topRight"/>
    </sheetView>
  </sheetViews>
  <sheetFormatPr defaultColWidth="9.21875" defaultRowHeight="14.4" zeroHeight="1"/>
  <cols>
    <col min="1" max="1" width="32.21875" style="26" customWidth="1"/>
    <col min="2" max="65" width="9.21875" style="2" customWidth="1"/>
    <col min="66" max="67" width="10.21875" style="45" customWidth="1"/>
    <col min="68" max="69" width="9.77734375" style="45" customWidth="1"/>
    <col min="70" max="74" width="9.21875" style="45" customWidth="1"/>
    <col min="75" max="75" width="10.21875" style="45" customWidth="1"/>
    <col min="76" max="76" width="9.21875" style="45" customWidth="1"/>
    <col min="77" max="77" width="10.21875" style="45" customWidth="1"/>
    <col min="78" max="107" width="10.5546875" style="45" customWidth="1"/>
    <col min="108" max="110" width="12.77734375" style="45" customWidth="1"/>
    <col min="111" max="127" width="12.77734375" style="116" customWidth="1"/>
    <col min="128" max="153" width="10.5546875" style="45" customWidth="1"/>
    <col min="154" max="154" width="9.21875" style="45" hidden="1" customWidth="1"/>
    <col min="155" max="185" width="9.21875" style="65" customWidth="1"/>
    <col min="186" max="186" width="9.21875" style="45" customWidth="1"/>
    <col min="187" max="16384" width="9.21875" style="45"/>
  </cols>
  <sheetData>
    <row r="1" spans="1:185" s="39" customFormat="1">
      <c r="A1" s="33" t="s">
        <v>0</v>
      </c>
      <c r="D1" s="40"/>
      <c r="Z1" s="34"/>
      <c r="AA1" s="34"/>
      <c r="AB1" s="34"/>
      <c r="AC1" s="34"/>
      <c r="DG1" s="112"/>
      <c r="DH1" s="112"/>
      <c r="DI1" s="112"/>
      <c r="DJ1" s="112"/>
      <c r="DK1" s="112"/>
      <c r="DL1" s="112"/>
      <c r="DM1" s="112"/>
      <c r="DN1" s="112"/>
      <c r="DO1" s="112"/>
      <c r="DP1" s="112"/>
      <c r="DQ1" s="112"/>
      <c r="DR1" s="112"/>
      <c r="DS1" s="112"/>
      <c r="DT1" s="112"/>
      <c r="DU1" s="112"/>
      <c r="DV1" s="112"/>
      <c r="DW1" s="112"/>
      <c r="EY1" s="63"/>
      <c r="EZ1" s="63"/>
      <c r="FA1" s="63"/>
      <c r="FB1" s="63"/>
      <c r="FC1" s="63"/>
      <c r="FD1" s="63"/>
      <c r="FE1" s="63"/>
      <c r="FF1" s="63"/>
      <c r="FG1" s="63"/>
      <c r="FH1" s="63"/>
      <c r="FI1" s="63"/>
      <c r="FJ1" s="63"/>
      <c r="FK1" s="63"/>
      <c r="FL1" s="63"/>
      <c r="FM1" s="63"/>
      <c r="FN1" s="63"/>
      <c r="FO1" s="63"/>
      <c r="FP1" s="63"/>
      <c r="FQ1" s="63"/>
      <c r="FR1" s="63"/>
      <c r="FS1" s="63"/>
      <c r="FT1" s="63"/>
      <c r="FU1" s="63"/>
      <c r="FV1" s="63"/>
      <c r="FW1" s="63"/>
      <c r="FX1" s="63"/>
      <c r="FY1" s="63"/>
      <c r="FZ1" s="63"/>
      <c r="GA1" s="63"/>
      <c r="GB1" s="63"/>
      <c r="GC1" s="63"/>
    </row>
    <row r="2" spans="1:185" s="34" customFormat="1" ht="15" customHeight="1">
      <c r="A2" s="41" t="s">
        <v>94</v>
      </c>
      <c r="B2" s="42"/>
      <c r="D2" s="43"/>
      <c r="DG2" s="113"/>
      <c r="DH2" s="113"/>
      <c r="DI2" s="113"/>
      <c r="DJ2" s="113"/>
      <c r="DK2" s="113"/>
      <c r="DL2" s="113"/>
      <c r="DM2" s="113"/>
      <c r="DN2" s="113"/>
      <c r="DO2" s="113"/>
      <c r="DP2" s="113"/>
      <c r="DQ2" s="113"/>
      <c r="DR2" s="113"/>
      <c r="DS2" s="113"/>
      <c r="DT2" s="113"/>
      <c r="DU2" s="113"/>
      <c r="DV2" s="113"/>
      <c r="DW2" s="113"/>
      <c r="EP2" s="337" t="s">
        <v>221</v>
      </c>
      <c r="EQ2" s="337"/>
      <c r="ER2" s="337"/>
      <c r="ES2" s="337"/>
      <c r="ET2" s="337"/>
      <c r="EU2" s="337"/>
      <c r="EV2" s="337"/>
      <c r="EX2" s="202"/>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row>
    <row r="3" spans="1:185" s="34" customFormat="1" ht="3.75" customHeight="1">
      <c r="A3" s="44"/>
      <c r="B3" s="42"/>
      <c r="D3" s="43"/>
      <c r="Z3" s="36"/>
      <c r="AA3" s="36"/>
      <c r="AB3" s="36"/>
      <c r="AC3" s="36"/>
      <c r="DG3" s="113"/>
      <c r="DH3" s="113"/>
      <c r="DI3" s="113"/>
      <c r="DJ3" s="113"/>
      <c r="DK3" s="113"/>
      <c r="DL3" s="113"/>
      <c r="DM3" s="113"/>
      <c r="DN3" s="113"/>
      <c r="DO3" s="113"/>
      <c r="DP3" s="113"/>
      <c r="DQ3" s="113"/>
      <c r="DR3" s="113"/>
      <c r="DS3" s="113"/>
      <c r="DT3" s="113"/>
      <c r="DU3" s="113"/>
      <c r="DV3" s="113"/>
      <c r="DW3" s="113"/>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row>
    <row r="4" spans="1:185" ht="15" customHeight="1">
      <c r="A4" s="12"/>
      <c r="B4" s="1">
        <v>41640</v>
      </c>
      <c r="C4" s="1">
        <v>41671</v>
      </c>
      <c r="D4" s="1">
        <v>41699</v>
      </c>
      <c r="E4" s="1">
        <v>41730</v>
      </c>
      <c r="F4" s="1">
        <v>41760</v>
      </c>
      <c r="G4" s="1">
        <v>41791</v>
      </c>
      <c r="H4" s="1">
        <v>41821</v>
      </c>
      <c r="I4" s="1">
        <v>41852</v>
      </c>
      <c r="J4" s="1">
        <v>41883</v>
      </c>
      <c r="K4" s="1">
        <v>41913</v>
      </c>
      <c r="L4" s="1">
        <v>41944</v>
      </c>
      <c r="M4" s="1">
        <v>41974</v>
      </c>
      <c r="N4" s="1">
        <v>42005</v>
      </c>
      <c r="O4" s="1">
        <v>42036</v>
      </c>
      <c r="P4" s="1">
        <v>42064</v>
      </c>
      <c r="Q4" s="1">
        <v>42095</v>
      </c>
      <c r="R4" s="1">
        <v>42125</v>
      </c>
      <c r="S4" s="1">
        <v>42156</v>
      </c>
      <c r="T4" s="1">
        <v>42186</v>
      </c>
      <c r="U4" s="1">
        <v>42217</v>
      </c>
      <c r="V4" s="1">
        <v>42248</v>
      </c>
      <c r="W4" s="1">
        <v>42278</v>
      </c>
      <c r="X4" s="1">
        <v>42309</v>
      </c>
      <c r="Y4" s="1">
        <v>42339</v>
      </c>
      <c r="Z4" s="13">
        <v>42370</v>
      </c>
      <c r="AA4" s="13">
        <v>42401</v>
      </c>
      <c r="AB4" s="13">
        <v>42430</v>
      </c>
      <c r="AC4" s="13">
        <v>42461</v>
      </c>
      <c r="AD4" s="13">
        <v>42491</v>
      </c>
      <c r="AE4" s="13">
        <v>42522</v>
      </c>
      <c r="AF4" s="13">
        <v>42552</v>
      </c>
      <c r="AG4" s="13">
        <v>42583</v>
      </c>
      <c r="AH4" s="1">
        <v>42614</v>
      </c>
      <c r="AI4" s="1">
        <v>42644</v>
      </c>
      <c r="AJ4" s="1">
        <v>42675</v>
      </c>
      <c r="AK4" s="1">
        <v>42705</v>
      </c>
      <c r="AL4" s="1">
        <v>42736</v>
      </c>
      <c r="AM4" s="1">
        <v>42767</v>
      </c>
      <c r="AN4" s="1">
        <v>42795</v>
      </c>
      <c r="AO4" s="1">
        <v>42826</v>
      </c>
      <c r="AP4" s="1">
        <v>42856</v>
      </c>
      <c r="AQ4" s="1">
        <v>42887</v>
      </c>
      <c r="AR4" s="1">
        <v>42917</v>
      </c>
      <c r="AS4" s="1">
        <v>42948</v>
      </c>
      <c r="AT4" s="1">
        <v>42979</v>
      </c>
      <c r="AU4" s="1">
        <v>43009</v>
      </c>
      <c r="AV4" s="1">
        <v>43040</v>
      </c>
      <c r="AW4" s="1">
        <v>43070</v>
      </c>
      <c r="AX4" s="1">
        <v>43101</v>
      </c>
      <c r="AY4" s="1">
        <v>43132</v>
      </c>
      <c r="AZ4" s="1">
        <v>43160</v>
      </c>
      <c r="BA4" s="1">
        <v>43191</v>
      </c>
      <c r="BB4" s="1">
        <v>43221</v>
      </c>
      <c r="BC4" s="1">
        <v>43252</v>
      </c>
      <c r="BD4" s="1">
        <v>43282</v>
      </c>
      <c r="BE4" s="1">
        <v>43313</v>
      </c>
      <c r="BF4" s="1">
        <v>43344</v>
      </c>
      <c r="BG4" s="1">
        <v>43374</v>
      </c>
      <c r="BH4" s="1">
        <v>43405</v>
      </c>
      <c r="BI4" s="1">
        <v>43435</v>
      </c>
      <c r="BJ4" s="38">
        <v>43466</v>
      </c>
      <c r="BK4" s="38">
        <v>43497</v>
      </c>
      <c r="BL4" s="38">
        <v>43525</v>
      </c>
      <c r="BM4" s="38">
        <v>43556</v>
      </c>
      <c r="BN4" s="38">
        <v>43586</v>
      </c>
      <c r="BO4" s="38">
        <v>43617</v>
      </c>
      <c r="BP4" s="38">
        <v>43647</v>
      </c>
      <c r="BQ4" s="38">
        <v>43678</v>
      </c>
      <c r="BR4" s="38">
        <v>43709</v>
      </c>
      <c r="BS4" s="38">
        <v>43739</v>
      </c>
      <c r="BT4" s="38">
        <v>43770</v>
      </c>
      <c r="BU4" s="38">
        <v>43800</v>
      </c>
      <c r="BV4" s="38">
        <v>43831</v>
      </c>
      <c r="BW4" s="38">
        <v>43862</v>
      </c>
      <c r="BX4" s="38">
        <v>43891</v>
      </c>
      <c r="BY4" s="38">
        <v>43922</v>
      </c>
      <c r="BZ4" s="38">
        <v>43952</v>
      </c>
      <c r="CA4" s="38">
        <v>43983</v>
      </c>
      <c r="CB4" s="38">
        <v>44013</v>
      </c>
      <c r="CC4" s="38">
        <v>44044</v>
      </c>
      <c r="CD4" s="38">
        <v>44075</v>
      </c>
      <c r="CE4" s="38">
        <v>44105</v>
      </c>
      <c r="CF4" s="38">
        <v>44136</v>
      </c>
      <c r="CG4" s="38">
        <v>44166</v>
      </c>
      <c r="CH4" s="38">
        <v>44197</v>
      </c>
      <c r="CI4" s="38">
        <v>44228</v>
      </c>
      <c r="CJ4" s="38">
        <v>44256</v>
      </c>
      <c r="CK4" s="38">
        <v>44287</v>
      </c>
      <c r="CL4" s="38">
        <v>44317</v>
      </c>
      <c r="CM4" s="38">
        <v>44348</v>
      </c>
      <c r="CN4" s="38">
        <v>44378</v>
      </c>
      <c r="CO4" s="38">
        <v>44409</v>
      </c>
      <c r="CP4" s="38">
        <v>44440</v>
      </c>
      <c r="CQ4" s="38">
        <v>44470</v>
      </c>
      <c r="CR4" s="38">
        <v>44501</v>
      </c>
      <c r="CS4" s="38">
        <v>44531</v>
      </c>
      <c r="CT4" s="38">
        <v>44562</v>
      </c>
      <c r="CU4" s="38">
        <v>44593</v>
      </c>
      <c r="CV4" s="38">
        <v>44621</v>
      </c>
      <c r="CW4" s="38">
        <v>44652</v>
      </c>
      <c r="CX4" s="38">
        <v>44682</v>
      </c>
      <c r="CY4" s="38">
        <v>44713</v>
      </c>
      <c r="CZ4" s="38">
        <v>44743</v>
      </c>
      <c r="DA4" s="38">
        <v>44774</v>
      </c>
      <c r="DB4" s="38">
        <v>44805</v>
      </c>
      <c r="DC4" s="38">
        <v>44835</v>
      </c>
      <c r="DD4" s="38">
        <v>44866</v>
      </c>
      <c r="DE4" s="38">
        <v>44896</v>
      </c>
      <c r="DF4" s="38">
        <v>44927</v>
      </c>
      <c r="DG4" s="38">
        <v>44958</v>
      </c>
      <c r="DH4" s="38">
        <v>44986</v>
      </c>
      <c r="DI4" s="38">
        <v>45017</v>
      </c>
      <c r="DJ4" s="38">
        <v>45047</v>
      </c>
      <c r="DK4" s="38">
        <v>45078</v>
      </c>
      <c r="DL4" s="38">
        <v>45108</v>
      </c>
      <c r="DM4" s="38">
        <v>45139</v>
      </c>
      <c r="DN4" s="38">
        <v>45170</v>
      </c>
      <c r="DO4" s="38">
        <v>45200</v>
      </c>
      <c r="DP4" s="38">
        <v>45231</v>
      </c>
      <c r="DQ4" s="38">
        <v>45261</v>
      </c>
      <c r="DR4" s="38">
        <v>45292</v>
      </c>
      <c r="DS4" s="38">
        <v>45323</v>
      </c>
      <c r="DT4" s="38">
        <v>45352</v>
      </c>
      <c r="DU4" s="38">
        <v>45383</v>
      </c>
      <c r="DV4" s="38">
        <v>45413</v>
      </c>
      <c r="DW4" s="38">
        <v>45444</v>
      </c>
      <c r="DX4" s="38">
        <v>45474</v>
      </c>
      <c r="DY4" s="38">
        <v>45505</v>
      </c>
      <c r="DZ4" s="38">
        <v>45536</v>
      </c>
      <c r="EA4" s="38">
        <v>45566</v>
      </c>
      <c r="EB4" s="38">
        <v>45597</v>
      </c>
      <c r="EC4" s="38">
        <v>45627</v>
      </c>
      <c r="ED4" s="38">
        <v>45658</v>
      </c>
      <c r="EE4" s="38">
        <v>45689</v>
      </c>
      <c r="EF4" s="38">
        <v>45717</v>
      </c>
      <c r="EG4" s="38">
        <v>45748</v>
      </c>
      <c r="EH4" s="38">
        <v>45778</v>
      </c>
      <c r="EI4" s="38">
        <v>45809</v>
      </c>
      <c r="EJ4" s="38">
        <v>45839</v>
      </c>
      <c r="EK4" s="38">
        <v>45870</v>
      </c>
      <c r="EL4" s="38">
        <v>45901</v>
      </c>
      <c r="EM4" s="38">
        <v>45931</v>
      </c>
      <c r="EN4" s="38">
        <v>45962</v>
      </c>
      <c r="EO4" s="38">
        <v>45992</v>
      </c>
      <c r="EP4" s="38">
        <v>46023</v>
      </c>
      <c r="EQ4" s="38">
        <v>46054</v>
      </c>
      <c r="ER4" s="38">
        <v>46082</v>
      </c>
      <c r="ES4" s="38">
        <v>46113</v>
      </c>
      <c r="ET4" s="38">
        <v>46143</v>
      </c>
      <c r="EU4" s="38">
        <v>46174</v>
      </c>
      <c r="EV4" s="38">
        <v>46204</v>
      </c>
    </row>
    <row r="5" spans="1:185" s="49" customFormat="1" ht="15" customHeight="1">
      <c r="A5" s="14" t="s">
        <v>1</v>
      </c>
      <c r="B5" s="4">
        <f t="shared" ref="B5:M5" si="0">B6-B12</f>
        <v>91313.421440000064</v>
      </c>
      <c r="C5" s="4">
        <f t="shared" si="0"/>
        <v>-21475.559770000051</v>
      </c>
      <c r="D5" s="4">
        <f t="shared" si="0"/>
        <v>-42874.525509999949</v>
      </c>
      <c r="E5" s="4">
        <f t="shared" si="0"/>
        <v>-37659.059680000064</v>
      </c>
      <c r="F5" s="4">
        <f t="shared" si="0"/>
        <v>90700.442779999692</v>
      </c>
      <c r="G5" s="4">
        <f t="shared" si="0"/>
        <v>195862.86088999989</v>
      </c>
      <c r="H5" s="4">
        <f t="shared" si="0"/>
        <v>-10838.734800000093</v>
      </c>
      <c r="I5" s="4">
        <f t="shared" si="0"/>
        <v>47350.854039999889</v>
      </c>
      <c r="J5" s="4">
        <f t="shared" si="0"/>
        <v>2228.4301999997115</v>
      </c>
      <c r="K5" s="4">
        <f t="shared" si="0"/>
        <v>-74172.763260000036</v>
      </c>
      <c r="L5" s="4">
        <f t="shared" si="0"/>
        <v>-172193.92486999964</v>
      </c>
      <c r="M5" s="4">
        <f t="shared" si="0"/>
        <v>-467238.2485799999</v>
      </c>
      <c r="N5" s="4">
        <f t="shared" ref="N5:W5" si="1">N6-N12</f>
        <v>89082.567129999981</v>
      </c>
      <c r="O5" s="4">
        <f t="shared" si="1"/>
        <v>-78843.736859999946</v>
      </c>
      <c r="P5" s="4">
        <f t="shared" si="1"/>
        <v>24262.518720000284</v>
      </c>
      <c r="Q5" s="4">
        <f t="shared" si="1"/>
        <v>120476.01403000031</v>
      </c>
      <c r="R5" s="4">
        <f t="shared" si="1"/>
        <v>102568.1783100001</v>
      </c>
      <c r="S5" s="4">
        <f t="shared" si="1"/>
        <v>-40085.145519999904</v>
      </c>
      <c r="T5" s="4">
        <f t="shared" si="1"/>
        <v>-85893.91519000032</v>
      </c>
      <c r="U5" s="4">
        <f t="shared" si="1"/>
        <v>117584.40234000003</v>
      </c>
      <c r="V5" s="4">
        <f t="shared" si="1"/>
        <v>-73129.009970000247</v>
      </c>
      <c r="W5" s="4">
        <f t="shared" si="1"/>
        <v>25688.213430000003</v>
      </c>
      <c r="X5" s="4">
        <v>-100319.17140000034</v>
      </c>
      <c r="Y5" s="4">
        <v>-473650.71200000029</v>
      </c>
      <c r="Z5" s="15">
        <f>Z6-Z12</f>
        <v>107110.02049999998</v>
      </c>
      <c r="AA5" s="15">
        <v>41780.300839999923</v>
      </c>
      <c r="AB5" s="15">
        <v>-100445.23820999986</v>
      </c>
      <c r="AC5" s="15">
        <v>-9189.4910300002666</v>
      </c>
      <c r="AD5" s="15">
        <v>149320.42417000001</v>
      </c>
      <c r="AE5" s="15">
        <v>-2422.9900599998473</v>
      </c>
      <c r="AF5" s="15">
        <v>21439.677369999932</v>
      </c>
      <c r="AG5" s="15">
        <v>42001.75285000023</v>
      </c>
      <c r="AH5" s="4">
        <v>53994.776410000784</v>
      </c>
      <c r="AI5" s="4">
        <v>-67527.171389999246</v>
      </c>
      <c r="AJ5" s="4">
        <v>-95804.261959999843</v>
      </c>
      <c r="AK5" s="4">
        <v>-242000.74536</v>
      </c>
      <c r="AL5" s="4">
        <v>121819.73393999976</v>
      </c>
      <c r="AM5" s="4">
        <v>10955.501089999983</v>
      </c>
      <c r="AN5" s="4">
        <v>-33008.380109999962</v>
      </c>
      <c r="AO5" s="4">
        <v>70972.531249999854</v>
      </c>
      <c r="AP5" s="4">
        <v>79319.083959999902</v>
      </c>
      <c r="AQ5" s="4">
        <v>-19329.924680000091</v>
      </c>
      <c r="AR5" s="4">
        <v>62888.680860000022</v>
      </c>
      <c r="AS5" s="4">
        <v>74188.635260000417</v>
      </c>
      <c r="AT5" s="4">
        <v>-7050.3847399997994</v>
      </c>
      <c r="AU5" s="4">
        <v>-98934.521639999963</v>
      </c>
      <c r="AV5" s="4">
        <v>-145226.56945999974</v>
      </c>
      <c r="AW5" s="4">
        <v>-338266.90960999997</v>
      </c>
      <c r="AX5" s="4">
        <v>172805.51350000093</v>
      </c>
      <c r="AY5" s="4">
        <v>127079.64875999792</v>
      </c>
      <c r="AZ5" s="4">
        <v>-71990.673390000011</v>
      </c>
      <c r="BA5" s="4">
        <v>12038.085170000908</v>
      </c>
      <c r="BB5" s="4">
        <v>267105.45551</v>
      </c>
      <c r="BC5" s="4">
        <v>-29338.694490000024</v>
      </c>
      <c r="BD5" s="4">
        <v>200431.68035999907</v>
      </c>
      <c r="BE5" s="4">
        <v>45774.284680000157</v>
      </c>
      <c r="BF5" s="4">
        <v>-32555.487709999434</v>
      </c>
      <c r="BG5" s="4">
        <v>-176690.29688999988</v>
      </c>
      <c r="BH5" s="4">
        <v>-156813.17988999793</v>
      </c>
      <c r="BI5" s="4">
        <v>-572971.32260999957</v>
      </c>
      <c r="BJ5" s="4">
        <f t="shared" ref="BJ5:BP5" si="2">BJ6-BJ12</f>
        <v>173648.37699999998</v>
      </c>
      <c r="BK5" s="4">
        <f t="shared" si="2"/>
        <v>108815.14299999981</v>
      </c>
      <c r="BL5" s="4">
        <f t="shared" si="2"/>
        <v>-81808.612000000081</v>
      </c>
      <c r="BM5" s="4">
        <f t="shared" si="2"/>
        <v>72372.558999999892</v>
      </c>
      <c r="BN5" s="4">
        <f t="shared" si="2"/>
        <v>241386.39999999944</v>
      </c>
      <c r="BO5" s="4">
        <f t="shared" si="2"/>
        <v>164797.13300000038</v>
      </c>
      <c r="BP5" s="4">
        <f t="shared" si="2"/>
        <v>-82053.674999999464</v>
      </c>
      <c r="BQ5" s="4">
        <f>BQ6-BQ12</f>
        <v>-309.79000000027008</v>
      </c>
      <c r="BR5" s="4">
        <f>BR6-BR12</f>
        <v>-75248.021000000648</v>
      </c>
      <c r="BS5" s="4">
        <f>BS6-BS12</f>
        <v>-77614.278000000049</v>
      </c>
      <c r="BT5" s="4">
        <f>BT6-BT12</f>
        <v>-139161.2080000015</v>
      </c>
      <c r="BU5" s="4">
        <f>BU6-BU12</f>
        <v>-422440.00499999686</v>
      </c>
      <c r="BV5" s="4">
        <v>111895.87100000004</v>
      </c>
      <c r="BW5" s="4">
        <f t="shared" ref="BW5:CG5" si="3">BW6-BW12</f>
        <v>103710.66299999983</v>
      </c>
      <c r="BX5" s="4">
        <f t="shared" si="3"/>
        <v>-144293.05600000033</v>
      </c>
      <c r="BY5" s="4">
        <f t="shared" si="3"/>
        <v>-82622.752999999793</v>
      </c>
      <c r="BZ5" s="4">
        <f t="shared" si="3"/>
        <v>70036.276000000304</v>
      </c>
      <c r="CA5" s="4">
        <f t="shared" si="3"/>
        <v>-190113.00100000028</v>
      </c>
      <c r="CB5" s="4">
        <f t="shared" si="3"/>
        <v>137554.96499999939</v>
      </c>
      <c r="CC5" s="4">
        <f t="shared" si="3"/>
        <v>-46323.773999999859</v>
      </c>
      <c r="CD5" s="4">
        <f t="shared" si="3"/>
        <v>-129953.41500000015</v>
      </c>
      <c r="CE5" s="4">
        <f t="shared" si="3"/>
        <v>-239787.45300000021</v>
      </c>
      <c r="CF5" s="4">
        <f t="shared" si="3"/>
        <v>-131403.44099999964</v>
      </c>
      <c r="CG5" s="4">
        <f t="shared" si="3"/>
        <v>-607594.71699999878</v>
      </c>
      <c r="CH5" s="4">
        <v>107812.63700000022</v>
      </c>
      <c r="CI5" s="4">
        <f t="shared" ref="CI5:CS5" si="4">CI6-CI12</f>
        <v>-70037.902000000235</v>
      </c>
      <c r="CJ5" s="4">
        <f t="shared" si="4"/>
        <v>-626307.76600000041</v>
      </c>
      <c r="CK5" s="4">
        <f t="shared" si="4"/>
        <v>-147810.3049999997</v>
      </c>
      <c r="CL5" s="4">
        <f t="shared" si="4"/>
        <v>43702.035999999382</v>
      </c>
      <c r="CM5" s="4">
        <f t="shared" si="4"/>
        <v>-323251.43699999957</v>
      </c>
      <c r="CN5" s="4">
        <f t="shared" si="4"/>
        <v>80650.705999999773</v>
      </c>
      <c r="CO5" s="4">
        <f t="shared" si="4"/>
        <v>8217.9289999990724</v>
      </c>
      <c r="CP5" s="4">
        <f t="shared" si="4"/>
        <v>120460.06200000062</v>
      </c>
      <c r="CQ5" s="4">
        <f t="shared" si="4"/>
        <v>-180467.44300000055</v>
      </c>
      <c r="CR5" s="4">
        <f t="shared" si="4"/>
        <v>-107114.45500000007</v>
      </c>
      <c r="CS5" s="4">
        <f t="shared" si="4"/>
        <v>-796518.82799999998</v>
      </c>
      <c r="CT5" s="4">
        <v>218389.09100000025</v>
      </c>
      <c r="CU5" s="4">
        <f t="shared" ref="CU5:DE5" si="5">CU6-CU12</f>
        <v>-8203.9499999999534</v>
      </c>
      <c r="CV5" s="4">
        <f t="shared" si="5"/>
        <v>-345869.73700000008</v>
      </c>
      <c r="CW5" s="4">
        <f t="shared" si="5"/>
        <v>53138.836999999825</v>
      </c>
      <c r="CX5" s="4">
        <f t="shared" si="5"/>
        <v>-82553.767999998527</v>
      </c>
      <c r="CY5" s="4">
        <f t="shared" si="5"/>
        <v>-61976.694000000134</v>
      </c>
      <c r="CZ5" s="4">
        <f t="shared" si="5"/>
        <v>128860.01499999734</v>
      </c>
      <c r="DA5" s="4">
        <f t="shared" si="5"/>
        <v>117341.16100000148</v>
      </c>
      <c r="DB5" s="4">
        <f t="shared" si="5"/>
        <v>-334219.50900000078</v>
      </c>
      <c r="DC5" s="4">
        <f t="shared" si="5"/>
        <v>-214870.46600000025</v>
      </c>
      <c r="DD5" s="4">
        <f t="shared" si="5"/>
        <v>-69420.276999999536</v>
      </c>
      <c r="DE5" s="4">
        <f t="shared" si="5"/>
        <v>-851302.9449999982</v>
      </c>
      <c r="DF5" s="4">
        <v>223039.36800000002</v>
      </c>
      <c r="DG5" s="54">
        <f t="shared" ref="DG5:DQ5" si="6">DG6-DG12</f>
        <v>-75727.524999999674</v>
      </c>
      <c r="DH5" s="54">
        <f t="shared" si="6"/>
        <v>-411380.46900000051</v>
      </c>
      <c r="DI5" s="54">
        <f t="shared" si="6"/>
        <v>92355.550000000047</v>
      </c>
      <c r="DJ5" s="54">
        <f t="shared" si="6"/>
        <v>116986.88500000047</v>
      </c>
      <c r="DK5" s="54">
        <f t="shared" si="6"/>
        <v>-83017.071000000695</v>
      </c>
      <c r="DL5" s="54">
        <f t="shared" si="6"/>
        <v>225991.39900000067</v>
      </c>
      <c r="DM5" s="54">
        <f t="shared" si="6"/>
        <v>-19435.504000001354</v>
      </c>
      <c r="DN5" s="54">
        <f t="shared" si="6"/>
        <v>-10334.489999996265</v>
      </c>
      <c r="DO5" s="54">
        <f t="shared" si="6"/>
        <v>-206638.49100000435</v>
      </c>
      <c r="DP5" s="54">
        <f t="shared" si="6"/>
        <v>-117014.40099999844</v>
      </c>
      <c r="DQ5" s="54">
        <f t="shared" si="6"/>
        <v>-1157739.0410000018</v>
      </c>
      <c r="DR5" s="54">
        <v>253732.15099999984</v>
      </c>
      <c r="DS5" s="54">
        <f t="shared" ref="DS5:EC5" si="7">DS6-DS12</f>
        <v>-72861.155000000261</v>
      </c>
      <c r="DT5" s="54">
        <f t="shared" si="7"/>
        <v>-139295.22200000007</v>
      </c>
      <c r="DU5" s="54">
        <f t="shared" si="7"/>
        <v>-137655.89799999888</v>
      </c>
      <c r="DV5" s="54">
        <f t="shared" si="7"/>
        <v>349316.14400000009</v>
      </c>
      <c r="DW5" s="54">
        <f t="shared" si="7"/>
        <v>350765.99499999988</v>
      </c>
      <c r="DX5" s="54">
        <f t="shared" si="7"/>
        <v>-13997.095000000903</v>
      </c>
      <c r="DY5" s="54">
        <f t="shared" si="7"/>
        <v>60071.610999998404</v>
      </c>
      <c r="DZ5" s="54">
        <f t="shared" si="7"/>
        <v>-42994.361999999266</v>
      </c>
      <c r="EA5" s="54">
        <f t="shared" si="7"/>
        <v>-295434.99500000011</v>
      </c>
      <c r="EB5" s="54">
        <f t="shared" si="7"/>
        <v>-242155.4300000011</v>
      </c>
      <c r="EC5" s="54">
        <f t="shared" si="7"/>
        <v>-802616.57399999932</v>
      </c>
      <c r="ED5" s="54">
        <f>'1'!CO11</f>
        <v>37266.269999999786</v>
      </c>
      <c r="EE5" s="54">
        <f>'1'!CP11-'1'!CO11</f>
        <v>-105358.19700000039</v>
      </c>
      <c r="EF5" s="54">
        <f>'1'!CQ11-'1'!CP11</f>
        <v>-453101.89199999906</v>
      </c>
      <c r="EG5" s="54">
        <f>'1'!CR11-'1'!CQ11</f>
        <v>-256267.19400000153</v>
      </c>
      <c r="EH5" s="54">
        <f>'1'!CS11-'1'!CR11</f>
        <v>357645.19900000002</v>
      </c>
      <c r="EI5" s="54">
        <f>'1'!CT11-'1'!CS11</f>
        <v>166760.8329999987</v>
      </c>
      <c r="EJ5" s="54">
        <f>'1'!CU11-'1'!CT11</f>
        <v>-166884.15999999456</v>
      </c>
      <c r="EK5" s="54">
        <f>'1'!CV11-'1'!CU11</f>
        <v>162929.73099999689</v>
      </c>
      <c r="EL5" s="54">
        <f>'1'!CW11-'1'!CV11</f>
        <v>-245197.12299999967</v>
      </c>
      <c r="EM5" s="54">
        <f>'1'!CX11-'1'!CW11</f>
        <v>-308430.88100000098</v>
      </c>
      <c r="EN5" s="54">
        <f>'1'!CY11-'1'!CX11</f>
        <v>-221782.57899999991</v>
      </c>
      <c r="EO5" s="54">
        <f>'1'!CZ11-'1'!CY11</f>
        <v>-708276.84499999508</v>
      </c>
      <c r="EP5" s="54">
        <f>'1'!DB11</f>
        <v>-21540.934000000358</v>
      </c>
      <c r="EQ5" s="54">
        <f>'1'!DC11-'1'!DB11</f>
        <v>446989.55200000061</v>
      </c>
      <c r="ER5" s="54">
        <f>'1'!DD11-'1'!DC11</f>
        <v>-418920.80300000077</v>
      </c>
      <c r="ES5" s="54">
        <f>'1'!DE11-'1'!DD11</f>
        <v>-143986.42799999937</v>
      </c>
      <c r="ET5" s="54">
        <f>'1'!DF11-'1'!DE11</f>
        <v>337299.92599999998</v>
      </c>
      <c r="EU5" s="54">
        <f>'1'!DG11-'1'!DF11</f>
        <v>72225.494999998249</v>
      </c>
      <c r="EV5" s="54">
        <f>'1'!DH11-'1'!DG11</f>
        <v>-221003.15199999698</v>
      </c>
      <c r="EW5" s="385"/>
      <c r="EY5" s="66"/>
      <c r="EZ5" s="66"/>
      <c r="FA5" s="66"/>
      <c r="FB5" s="66"/>
      <c r="FC5" s="66"/>
      <c r="FD5" s="66"/>
      <c r="FE5" s="66"/>
      <c r="FF5" s="66"/>
      <c r="FG5" s="66"/>
      <c r="FH5" s="66"/>
      <c r="FI5" s="66"/>
      <c r="FJ5" s="66"/>
      <c r="FK5" s="66"/>
      <c r="FL5" s="66"/>
      <c r="FM5" s="66"/>
      <c r="FN5" s="66"/>
      <c r="FO5" s="66"/>
      <c r="FP5" s="66"/>
      <c r="FQ5" s="66"/>
      <c r="FR5" s="66"/>
      <c r="FS5" s="66"/>
      <c r="FT5" s="66"/>
      <c r="FU5" s="66"/>
      <c r="FV5" s="66"/>
      <c r="FW5" s="66"/>
      <c r="FX5" s="66"/>
      <c r="FY5" s="66"/>
      <c r="FZ5" s="66"/>
      <c r="GA5" s="66"/>
      <c r="GB5" s="66"/>
      <c r="GC5" s="66"/>
    </row>
    <row r="6" spans="1:185" s="50" customFormat="1" ht="15" customHeight="1">
      <c r="A6" s="16" t="s">
        <v>2</v>
      </c>
      <c r="B6" s="17">
        <v>669150.36543999997</v>
      </c>
      <c r="C6" s="17">
        <v>702336.51727999991</v>
      </c>
      <c r="D6" s="17">
        <v>634464.90998999996</v>
      </c>
      <c r="E6" s="17">
        <v>729478.28368999995</v>
      </c>
      <c r="F6" s="17">
        <v>697768.86613999994</v>
      </c>
      <c r="G6" s="17">
        <v>930301.22159999993</v>
      </c>
      <c r="H6" s="17">
        <v>717431.2548</v>
      </c>
      <c r="I6" s="17">
        <v>705630.82687999995</v>
      </c>
      <c r="J6" s="17">
        <v>664101.56457999977</v>
      </c>
      <c r="K6" s="17">
        <v>698900.34092999983</v>
      </c>
      <c r="L6" s="17">
        <v>633553.95424000011</v>
      </c>
      <c r="M6" s="17">
        <v>752790.41567000002</v>
      </c>
      <c r="N6" s="17">
        <v>739901.46539000003</v>
      </c>
      <c r="O6" s="17">
        <v>673295.03503999987</v>
      </c>
      <c r="P6" s="17">
        <v>783832.47659000021</v>
      </c>
      <c r="Q6" s="17">
        <v>877359.58700000029</v>
      </c>
      <c r="R6" s="17">
        <v>738221.47658000013</v>
      </c>
      <c r="S6" s="17">
        <v>773494.45748999983</v>
      </c>
      <c r="T6" s="17">
        <v>677593.43219999969</v>
      </c>
      <c r="U6" s="17">
        <v>809255.96308999998</v>
      </c>
      <c r="V6" s="17">
        <v>621655.15809999965</v>
      </c>
      <c r="W6" s="17">
        <v>734458.93104000005</v>
      </c>
      <c r="X6" s="17">
        <v>663909.64456999965</v>
      </c>
      <c r="Y6" s="17">
        <v>729584.73817999964</v>
      </c>
      <c r="Z6" s="18">
        <v>728283.55531000008</v>
      </c>
      <c r="AA6" s="18">
        <v>812494.54261</v>
      </c>
      <c r="AB6" s="18">
        <v>673808.96195000014</v>
      </c>
      <c r="AC6" s="18">
        <v>771643.91665999964</v>
      </c>
      <c r="AD6" s="18">
        <v>834341.27364999999</v>
      </c>
      <c r="AE6" s="18">
        <v>734566.16660999996</v>
      </c>
      <c r="AF6" s="18">
        <v>742543.24895999988</v>
      </c>
      <c r="AG6" s="18">
        <v>738284.42366000032</v>
      </c>
      <c r="AH6" s="5">
        <v>721850.15873000061</v>
      </c>
      <c r="AI6" s="5">
        <v>743074.16115000052</v>
      </c>
      <c r="AJ6" s="5">
        <v>725551.77905000024</v>
      </c>
      <c r="AK6" s="5">
        <v>843416.72667999985</v>
      </c>
      <c r="AL6" s="5">
        <v>796686.08243000007</v>
      </c>
      <c r="AM6" s="5">
        <v>788039.42313999997</v>
      </c>
      <c r="AN6" s="5">
        <v>711497.08975999989</v>
      </c>
      <c r="AO6" s="5">
        <v>837391.14862999995</v>
      </c>
      <c r="AP6" s="5">
        <v>829812.36539000005</v>
      </c>
      <c r="AQ6" s="5">
        <v>858614.70745999983</v>
      </c>
      <c r="AR6" s="5">
        <v>793875.89476000005</v>
      </c>
      <c r="AS6" s="5">
        <v>812128.50832000037</v>
      </c>
      <c r="AT6" s="5">
        <v>724058.72840000002</v>
      </c>
      <c r="AU6" s="5">
        <v>814400.63669999992</v>
      </c>
      <c r="AV6" s="5">
        <v>757016.09750000027</v>
      </c>
      <c r="AW6" s="5">
        <v>900967.75630000001</v>
      </c>
      <c r="AX6" s="5">
        <v>879758.22274999996</v>
      </c>
      <c r="AY6" s="5">
        <v>914569.24210999894</v>
      </c>
      <c r="AZ6" s="5">
        <v>740060.61522000004</v>
      </c>
      <c r="BA6" s="5">
        <v>928535.87488000095</v>
      </c>
      <c r="BB6" s="5">
        <v>1055559.9995500001</v>
      </c>
      <c r="BC6" s="5">
        <v>892335.02151000011</v>
      </c>
      <c r="BD6" s="5">
        <v>1087361.14708</v>
      </c>
      <c r="BE6" s="5">
        <v>901412.71518000006</v>
      </c>
      <c r="BF6" s="5">
        <v>783892.94155000057</v>
      </c>
      <c r="BG6" s="5">
        <v>891427.71253000014</v>
      </c>
      <c r="BH6" s="5">
        <v>890659.00799000205</v>
      </c>
      <c r="BI6" s="5">
        <v>917330.79664999805</v>
      </c>
      <c r="BJ6" s="5">
        <f t="shared" ref="BJ6:BP6" si="8">BJ7+BJ8+BJ9+BJ10+BJ11</f>
        <v>975697.728</v>
      </c>
      <c r="BK6" s="5">
        <f t="shared" si="8"/>
        <v>1006430.34</v>
      </c>
      <c r="BL6" s="5">
        <f t="shared" si="8"/>
        <v>735133.08499999996</v>
      </c>
      <c r="BM6" s="5">
        <f t="shared" si="8"/>
        <v>1000972.7179999999</v>
      </c>
      <c r="BN6" s="5">
        <f t="shared" si="8"/>
        <v>1108859.1290000002</v>
      </c>
      <c r="BO6" s="5">
        <f t="shared" si="8"/>
        <v>1079866</v>
      </c>
      <c r="BP6" s="5">
        <f t="shared" si="8"/>
        <v>890279.0060000004</v>
      </c>
      <c r="BQ6" s="5">
        <f>BQ7+BQ8+BQ9+BQ10+BQ11</f>
        <v>854624.61299999966</v>
      </c>
      <c r="BR6" s="5">
        <f>BR7+BR8+BR9+BR10+BR11</f>
        <v>789328.57299999986</v>
      </c>
      <c r="BS6" s="5">
        <f>BS7+BS8+BS9+BS10+BS11</f>
        <v>1001284.2609999998</v>
      </c>
      <c r="BT6" s="5">
        <f>BT7+BT8+BT9+BT10+BT11</f>
        <v>855826.99700000044</v>
      </c>
      <c r="BU6" s="5">
        <f>BU7+BU8+BU9+BU10+BU11</f>
        <v>1116052.8970000001</v>
      </c>
      <c r="BV6" s="5">
        <v>990255.96600000001</v>
      </c>
      <c r="BW6" s="5">
        <f t="shared" ref="BW6:CG6" si="9">BW7+BW8+BW9+BW10+BW11</f>
        <v>1003986.803</v>
      </c>
      <c r="BX6" s="5">
        <f t="shared" si="9"/>
        <v>790973.85899999994</v>
      </c>
      <c r="BY6" s="5">
        <f t="shared" si="9"/>
        <v>1008343.1729999997</v>
      </c>
      <c r="BZ6" s="5">
        <f t="shared" si="9"/>
        <v>915661.34800000046</v>
      </c>
      <c r="CA6" s="5">
        <f t="shared" si="9"/>
        <v>817524.85099999967</v>
      </c>
      <c r="CB6" s="5">
        <f t="shared" si="9"/>
        <v>1137278.0649999999</v>
      </c>
      <c r="CC6" s="5">
        <f t="shared" si="9"/>
        <v>905597.44700000004</v>
      </c>
      <c r="CD6" s="5">
        <f t="shared" si="9"/>
        <v>848822.40500000014</v>
      </c>
      <c r="CE6" s="5">
        <f t="shared" si="9"/>
        <v>906227.44399999967</v>
      </c>
      <c r="CF6" s="5">
        <f t="shared" si="9"/>
        <v>896995.39900000021</v>
      </c>
      <c r="CG6" s="5">
        <f t="shared" si="9"/>
        <v>1098839.1779999989</v>
      </c>
      <c r="CH6" s="5">
        <v>1025729.2190000002</v>
      </c>
      <c r="CI6" s="5">
        <f t="shared" ref="CI6:CS6" si="10">CI7+CI8+CI9+CI10+CI11</f>
        <v>1050032.9479999999</v>
      </c>
      <c r="CJ6" s="5">
        <f t="shared" si="10"/>
        <v>729450.3539999997</v>
      </c>
      <c r="CK6" s="5">
        <f t="shared" si="10"/>
        <v>1125852.8420000002</v>
      </c>
      <c r="CL6" s="5">
        <f t="shared" si="10"/>
        <v>1104155.3219999997</v>
      </c>
      <c r="CM6" s="5">
        <f t="shared" si="10"/>
        <v>976600.62799999991</v>
      </c>
      <c r="CN6" s="5">
        <f t="shared" si="10"/>
        <v>1162632.0019999999</v>
      </c>
      <c r="CO6" s="5">
        <f t="shared" si="10"/>
        <v>1025720.0220000003</v>
      </c>
      <c r="CP6" s="5">
        <f t="shared" si="10"/>
        <v>1184851.081</v>
      </c>
      <c r="CQ6" s="5">
        <f t="shared" si="10"/>
        <v>993429.18299999961</v>
      </c>
      <c r="CR6" s="5">
        <f t="shared" si="10"/>
        <v>1074941.0989999995</v>
      </c>
      <c r="CS6" s="5">
        <f t="shared" si="10"/>
        <v>1118858.0209999995</v>
      </c>
      <c r="CT6" s="5">
        <v>1230170.0470000003</v>
      </c>
      <c r="CU6" s="114">
        <f>CU7+CU8+CU9+CU10+CU11</f>
        <v>1166379.9070000001</v>
      </c>
      <c r="CV6" s="5">
        <f>CV7+CV8+CV9+CV10+CV11</f>
        <v>896198.79599999974</v>
      </c>
      <c r="CW6" s="5">
        <f>CW7+CW8+CW9+CW10+CW11</f>
        <v>1240480.2940000002</v>
      </c>
      <c r="CX6" s="5">
        <f>CX7+CX8+CX9+CX10+CX11</f>
        <v>1141583.5550000004</v>
      </c>
      <c r="CY6" s="5">
        <f t="shared" ref="CY6:DD6" si="11">CY7+CY8+CY9+CY10+CY11</f>
        <v>1110073.8809999991</v>
      </c>
      <c r="CZ6" s="5">
        <f t="shared" si="11"/>
        <v>1217508.6170000001</v>
      </c>
      <c r="DA6" s="5">
        <f t="shared" si="11"/>
        <v>1222030.584</v>
      </c>
      <c r="DB6" s="5">
        <f t="shared" si="11"/>
        <v>1079167.6949999991</v>
      </c>
      <c r="DC6" s="5">
        <f t="shared" si="11"/>
        <v>1328712.6070000005</v>
      </c>
      <c r="DD6" s="5">
        <f t="shared" si="11"/>
        <v>1261934.4380000003</v>
      </c>
      <c r="DE6" s="5">
        <f>DE7+DE8+DE9+DE10+DE11</f>
        <v>1379607.6580000001</v>
      </c>
      <c r="DF6" s="5">
        <v>1307495.6850000001</v>
      </c>
      <c r="DG6" s="114">
        <f t="shared" ref="DG6:DQ6" si="12">DG7+DG8+DG9+DG10+DG11</f>
        <v>1335076.73</v>
      </c>
      <c r="DH6" s="114">
        <f t="shared" si="12"/>
        <v>941933.14500000002</v>
      </c>
      <c r="DI6" s="114">
        <f t="shared" si="12"/>
        <v>1392983.4280000001</v>
      </c>
      <c r="DJ6" s="114">
        <f t="shared" si="12"/>
        <v>1402498.183</v>
      </c>
      <c r="DK6" s="114">
        <f t="shared" si="12"/>
        <v>1304045.598</v>
      </c>
      <c r="DL6" s="114">
        <f t="shared" si="12"/>
        <v>1459749.8659999999</v>
      </c>
      <c r="DM6" s="114">
        <f t="shared" si="12"/>
        <v>1257876.4940000002</v>
      </c>
      <c r="DN6" s="114">
        <f t="shared" si="12"/>
        <v>1217869.4979999999</v>
      </c>
      <c r="DO6" s="114">
        <f t="shared" si="12"/>
        <v>1209805.9029999988</v>
      </c>
      <c r="DP6" s="114">
        <f t="shared" si="12"/>
        <v>1354090.2440000011</v>
      </c>
      <c r="DQ6" s="114">
        <f t="shared" si="12"/>
        <v>1358321.8030000005</v>
      </c>
      <c r="DR6" s="114">
        <v>1557359.8019999999</v>
      </c>
      <c r="DS6" s="114">
        <f t="shared" ref="DS6:EC6" si="13">DS7+DS8+DS9+DS10+DS11</f>
        <v>1355056.4539999999</v>
      </c>
      <c r="DT6" s="114">
        <f t="shared" si="13"/>
        <v>1183497.7439999999</v>
      </c>
      <c r="DU6" s="114">
        <f t="shared" si="13"/>
        <v>1415647.6440000001</v>
      </c>
      <c r="DV6" s="114">
        <f t="shared" si="13"/>
        <v>1711860.2449999999</v>
      </c>
      <c r="DW6" s="114">
        <f t="shared" si="13"/>
        <v>1789638.223</v>
      </c>
      <c r="DX6" s="114">
        <f t="shared" si="13"/>
        <v>1478726.0710000002</v>
      </c>
      <c r="DY6" s="114">
        <f t="shared" si="13"/>
        <v>1374693.1979999996</v>
      </c>
      <c r="DZ6" s="114">
        <f t="shared" si="13"/>
        <v>1261556.1070000012</v>
      </c>
      <c r="EA6" s="114">
        <f t="shared" si="13"/>
        <v>1282732.1999999983</v>
      </c>
      <c r="EB6" s="114">
        <f t="shared" si="13"/>
        <v>1264748.5330000003</v>
      </c>
      <c r="EC6" s="114">
        <f t="shared" si="13"/>
        <v>1470191.433</v>
      </c>
      <c r="ED6" s="114">
        <f>'1'!CO12</f>
        <v>1450465.2409999999</v>
      </c>
      <c r="EE6" s="114">
        <f>'1'!CP12-'1'!CO12</f>
        <v>1441982.9519999996</v>
      </c>
      <c r="EF6" s="114">
        <f>'1'!CQ12-'1'!CP12</f>
        <v>1161206.1980000008</v>
      </c>
      <c r="EG6" s="114">
        <f>'1'!CR12-'1'!CQ12</f>
        <v>1396940.9009999991</v>
      </c>
      <c r="EH6" s="114">
        <f>'1'!CS12-'1'!CR12</f>
        <v>1772410.4739999995</v>
      </c>
      <c r="EI6" s="114">
        <f>'1'!CT12-'1'!CS12</f>
        <v>1707690.7170000002</v>
      </c>
      <c r="EJ6" s="114">
        <f>'1'!CU12-'1'!CT12</f>
        <v>1423418.7450000029</v>
      </c>
      <c r="EK6" s="114">
        <f>'1'!CV12-'1'!CU12</f>
        <v>1610472.4329999965</v>
      </c>
      <c r="EL6" s="114">
        <f>'1'!CW12-'1'!CV12</f>
        <v>1294154.9310000017</v>
      </c>
      <c r="EM6" s="114">
        <f>'1'!CX12-'1'!CW12</f>
        <v>1351476.6319999993</v>
      </c>
      <c r="EN6" s="114">
        <f>'1'!CY12-'1'!CX12</f>
        <v>1335414.6130000018</v>
      </c>
      <c r="EO6" s="114">
        <f>'1'!CZ12-'1'!CY12</f>
        <v>1832092.7490000017</v>
      </c>
      <c r="EP6" s="114">
        <f>'1'!DB12</f>
        <v>1501897.0279999999</v>
      </c>
      <c r="EQ6" s="114">
        <f>'1'!DC12-'1'!DB12</f>
        <v>2041843.8710000003</v>
      </c>
      <c r="ER6" s="114">
        <f>'1'!DD12-'1'!DC12</f>
        <v>1241805.8729999997</v>
      </c>
      <c r="ES6" s="114">
        <f>'1'!DE12-'1'!DD12</f>
        <v>1429556.0520000001</v>
      </c>
      <c r="ET6" s="114">
        <f>'1'!DF12-'1'!DE12</f>
        <v>1890532.88</v>
      </c>
      <c r="EU6" s="114">
        <f>'1'!DG12-'1'!DF12</f>
        <v>1762502.5490000006</v>
      </c>
      <c r="EV6" s="114">
        <f>'1'!DH12-'1'!DG12</f>
        <v>1553971.6630000006</v>
      </c>
      <c r="EW6" s="218"/>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row>
    <row r="7" spans="1:185" s="50" customFormat="1" ht="15" customHeight="1">
      <c r="A7" s="19" t="s">
        <v>74</v>
      </c>
      <c r="B7" s="20">
        <v>563342.33500000008</v>
      </c>
      <c r="C7" s="20">
        <v>484018.44699999999</v>
      </c>
      <c r="D7" s="20">
        <v>522459.97200000001</v>
      </c>
      <c r="E7" s="20">
        <v>577311.68200000003</v>
      </c>
      <c r="F7" s="20">
        <v>543408.39699999988</v>
      </c>
      <c r="G7" s="20">
        <v>561049.38299999991</v>
      </c>
      <c r="H7" s="20">
        <v>588721.99199999997</v>
      </c>
      <c r="I7" s="20">
        <v>592501.03700000013</v>
      </c>
      <c r="J7" s="20">
        <v>544269.77168000001</v>
      </c>
      <c r="K7" s="20">
        <v>552728.12165999995</v>
      </c>
      <c r="L7" s="20">
        <v>562036.71759000013</v>
      </c>
      <c r="M7" s="20">
        <v>584081.29408999998</v>
      </c>
      <c r="N7" s="20">
        <v>596497.70616000006</v>
      </c>
      <c r="O7" s="20">
        <v>506940.67818000005</v>
      </c>
      <c r="P7" s="20">
        <v>558522.39622000011</v>
      </c>
      <c r="Q7" s="20">
        <v>590483.38904000015</v>
      </c>
      <c r="R7" s="20">
        <v>601644.75202999997</v>
      </c>
      <c r="S7" s="20">
        <v>558187.25926999992</v>
      </c>
      <c r="T7" s="20">
        <v>603846.94405000005</v>
      </c>
      <c r="U7" s="20">
        <v>615705.18461000011</v>
      </c>
      <c r="V7" s="20">
        <v>564092.8196599998</v>
      </c>
      <c r="W7" s="20">
        <v>599742.80671000003</v>
      </c>
      <c r="X7" s="20">
        <v>602621.26305999991</v>
      </c>
      <c r="Y7" s="20">
        <v>604380.80405000004</v>
      </c>
      <c r="Z7" s="21">
        <v>595571.64918000007</v>
      </c>
      <c r="AA7" s="21">
        <v>546144.7011500001</v>
      </c>
      <c r="AB7" s="21">
        <v>583706.50466000021</v>
      </c>
      <c r="AC7" s="21">
        <v>627295.03941999981</v>
      </c>
      <c r="AD7" s="21">
        <v>630385.37828999991</v>
      </c>
      <c r="AE7" s="21">
        <v>612432.40067999996</v>
      </c>
      <c r="AF7" s="21">
        <v>639154.92059999995</v>
      </c>
      <c r="AG7" s="21">
        <v>635624.53900999995</v>
      </c>
      <c r="AH7" s="7">
        <v>611713.5027099998</v>
      </c>
      <c r="AI7" s="7">
        <v>638055.60171000008</v>
      </c>
      <c r="AJ7" s="7">
        <v>630150.45281000005</v>
      </c>
      <c r="AK7" s="7">
        <v>669314.18356000015</v>
      </c>
      <c r="AL7" s="7">
        <v>651349.39648999996</v>
      </c>
      <c r="AM7" s="7">
        <v>560254.40677</v>
      </c>
      <c r="AN7" s="7">
        <v>616608.94964000001</v>
      </c>
      <c r="AO7" s="7">
        <v>662004.89991999988</v>
      </c>
      <c r="AP7" s="7">
        <v>671384.66902999999</v>
      </c>
      <c r="AQ7" s="7">
        <v>678990.23840999999</v>
      </c>
      <c r="AR7" s="7">
        <v>692791.26168</v>
      </c>
      <c r="AS7" s="7">
        <v>701755.27677</v>
      </c>
      <c r="AT7" s="7">
        <v>665346.05047999986</v>
      </c>
      <c r="AU7" s="7">
        <v>685337.81932999985</v>
      </c>
      <c r="AV7" s="7">
        <v>684107.0076400002</v>
      </c>
      <c r="AW7" s="7">
        <v>745354.20979999995</v>
      </c>
      <c r="AX7" s="7">
        <v>696349.59452000004</v>
      </c>
      <c r="AY7" s="7">
        <v>638892.92934999999</v>
      </c>
      <c r="AZ7" s="7">
        <v>646751.61216999998</v>
      </c>
      <c r="BA7" s="7">
        <v>724765.62719000003</v>
      </c>
      <c r="BB7" s="7">
        <v>746072.12133999995</v>
      </c>
      <c r="BC7" s="7">
        <v>759254.72499999998</v>
      </c>
      <c r="BD7" s="7">
        <v>764729.86123000004</v>
      </c>
      <c r="BE7" s="7">
        <v>748828.64396999998</v>
      </c>
      <c r="BF7" s="7">
        <v>690852.33174000005</v>
      </c>
      <c r="BG7" s="7">
        <v>717180.73311999999</v>
      </c>
      <c r="BH7" s="7">
        <v>740371.87453000003</v>
      </c>
      <c r="BI7" s="7">
        <v>783686.70684000012</v>
      </c>
      <c r="BJ7" s="7">
        <v>717665.07200000004</v>
      </c>
      <c r="BK7" s="7">
        <v>677510.103</v>
      </c>
      <c r="BL7" s="7">
        <v>650253.13499999989</v>
      </c>
      <c r="BM7" s="7">
        <v>726487.16899999976</v>
      </c>
      <c r="BN7" s="7">
        <f>'1'!S13-'1'!R13</f>
        <v>766741.52100000018</v>
      </c>
      <c r="BO7" s="7">
        <f>'1'!T13-'1'!S13</f>
        <v>731242</v>
      </c>
      <c r="BP7" s="7">
        <f>'1'!U13-'1'!T13</f>
        <v>786636.32600000035</v>
      </c>
      <c r="BQ7" s="7">
        <f>'1'!V13-'1'!U13</f>
        <v>780536.67399999965</v>
      </c>
      <c r="BR7" s="7">
        <f>'1'!W13-'1'!V13</f>
        <v>784169.12399999984</v>
      </c>
      <c r="BS7" s="7">
        <f>'1'!X13-'1'!W13</f>
        <v>785502.08499999996</v>
      </c>
      <c r="BT7" s="7">
        <f>'1'!Y13-'1'!X13</f>
        <v>784818.30900000036</v>
      </c>
      <c r="BU7" s="7">
        <f>'1'!Z13-'1'!Y13</f>
        <v>865773.71200000029</v>
      </c>
      <c r="BV7" s="7">
        <v>809688.72100000002</v>
      </c>
      <c r="BW7" s="7">
        <f>'1'!AC13-'1'!AB13</f>
        <v>729172.13300000003</v>
      </c>
      <c r="BX7" s="7">
        <f>'1'!AD13-'1'!AC13</f>
        <v>622803.57999999984</v>
      </c>
      <c r="BY7" s="7">
        <f>'1'!AE13-'1'!AD13</f>
        <v>689512.18699999992</v>
      </c>
      <c r="BZ7" s="7">
        <f>'1'!AF13-'1'!AE13</f>
        <v>629295.89700000035</v>
      </c>
      <c r="CA7" s="7">
        <f>'1'!AG13-'1'!AF13</f>
        <v>690672.48199999984</v>
      </c>
      <c r="CB7" s="7">
        <f>'1'!AH13-'1'!AG13</f>
        <v>796698.85199999996</v>
      </c>
      <c r="CC7" s="7">
        <f>'1'!AI13-'1'!AH13</f>
        <v>803951.55700000003</v>
      </c>
      <c r="CD7" s="7">
        <f>'1'!AJ13-'1'!AI13</f>
        <v>783355.6660000002</v>
      </c>
      <c r="CE7" s="7">
        <f>'1'!AK13-'1'!AJ13</f>
        <v>827797.90699999966</v>
      </c>
      <c r="CF7" s="7">
        <f>'1'!AL13-'1'!AK13</f>
        <v>797101.46100000013</v>
      </c>
      <c r="CG7" s="7">
        <f>'1'!AM13-'1'!AL13</f>
        <v>826496.36999999918</v>
      </c>
      <c r="CH7" s="7">
        <v>782986.00100000005</v>
      </c>
      <c r="CI7" s="7">
        <f>'1'!AP13-'1'!AO13</f>
        <v>734852.06500000006</v>
      </c>
      <c r="CJ7" s="7">
        <f>'1'!AQ13-'1'!AP13</f>
        <v>637891.50999999978</v>
      </c>
      <c r="CK7" s="7">
        <f>'1'!AR13-'1'!AQ13</f>
        <v>864350.42400000012</v>
      </c>
      <c r="CL7" s="7">
        <f>'1'!AS13-'1'!AR13</f>
        <v>850252.99099999992</v>
      </c>
      <c r="CM7" s="7">
        <f>'1'!AT13-'1'!AS13</f>
        <v>768738.3879999998</v>
      </c>
      <c r="CN7" s="7">
        <f>'1'!AU13-'1'!AT13</f>
        <v>922262.25600000005</v>
      </c>
      <c r="CO7" s="7">
        <f>'1'!AV13-'1'!AU13</f>
        <v>901674.18400000036</v>
      </c>
      <c r="CP7" s="7">
        <f>'1'!AW13-'1'!AV13</f>
        <v>852725.58600000013</v>
      </c>
      <c r="CQ7" s="7">
        <f>'1'!AX13-'1'!AW13</f>
        <v>895873.59499999974</v>
      </c>
      <c r="CR7" s="7">
        <f>'1'!AY13-'1'!AX13</f>
        <v>856461.09999999963</v>
      </c>
      <c r="CS7" s="7">
        <f>'1'!AZ13-'1'!AY13</f>
        <v>962936.0429999996</v>
      </c>
      <c r="CT7" s="7">
        <v>941791.93599999999</v>
      </c>
      <c r="CU7" s="7">
        <f>'1'!BC13-'1'!BB13</f>
        <v>870814.98900000006</v>
      </c>
      <c r="CV7" s="7">
        <f>'1'!BD13-'1'!BC13</f>
        <v>769054.68499999982</v>
      </c>
      <c r="CW7" s="7">
        <f>'1'!BE13-'1'!BD13</f>
        <v>957835.15200000023</v>
      </c>
      <c r="CX7" s="7">
        <f>'1'!BF13-'1'!BE13</f>
        <v>978678.55900000036</v>
      </c>
      <c r="CY7" s="7">
        <f>'1'!BG13-'1'!BF13</f>
        <v>888916.23299999908</v>
      </c>
      <c r="CZ7" s="7">
        <f>'1'!BH13-'1'!BG13</f>
        <v>1027456.8880000003</v>
      </c>
      <c r="DA7" s="7">
        <f>'1'!BI13-'1'!BH13</f>
        <v>969994.08100000024</v>
      </c>
      <c r="DB7" s="7">
        <f>'1'!BJ13-'1'!BI13</f>
        <v>985435.90399999917</v>
      </c>
      <c r="DC7" s="7">
        <f>'1'!BK13-'1'!BJ13</f>
        <v>1021662.5140000004</v>
      </c>
      <c r="DD7" s="7">
        <f>'1'!BL13-'1'!BK13</f>
        <v>1038227.6740000006</v>
      </c>
      <c r="DE7" s="7">
        <f>'1'!BM13-'1'!BL13</f>
        <v>1107409.0789999999</v>
      </c>
      <c r="DF7" s="7">
        <v>1077162.7609999999</v>
      </c>
      <c r="DG7" s="115">
        <f>'1'!BP13-'1'!BO13</f>
        <v>983504.24399999995</v>
      </c>
      <c r="DH7" s="115">
        <f>'1'!BQ13-'1'!BP13</f>
        <v>838446.19</v>
      </c>
      <c r="DI7" s="115">
        <f>'1'!BR13-'1'!BQ13</f>
        <v>1063867.0010000002</v>
      </c>
      <c r="DJ7" s="115">
        <f>'1'!BS13-'1'!BR13</f>
        <v>1071795.2409999999</v>
      </c>
      <c r="DK7" s="115">
        <f>'1'!BT13-'1'!BS13</f>
        <v>1023214.676</v>
      </c>
      <c r="DL7" s="115">
        <f>'1'!BU13-'1'!BT13</f>
        <v>1108668.1310000001</v>
      </c>
      <c r="DM7" s="115">
        <f>'1'!BV13-'1'!BU13</f>
        <v>1074853.3080000002</v>
      </c>
      <c r="DN7" s="115">
        <f>'1'!BW13-'1'!BV13</f>
        <v>1074818.7690000003</v>
      </c>
      <c r="DO7" s="115">
        <f>'1'!BX13-'1'!BW13</f>
        <v>1092402.0949999988</v>
      </c>
      <c r="DP7" s="115">
        <f>'1'!BY13-'1'!BX13</f>
        <v>1019073.949000001</v>
      </c>
      <c r="DQ7" s="115">
        <f>'1'!BZ13-'1'!BY13</f>
        <v>1172609.2300000004</v>
      </c>
      <c r="DR7" s="115">
        <v>1080454.102</v>
      </c>
      <c r="DS7" s="115">
        <f>'1'!CC13-'1'!CB13</f>
        <v>1024283.855</v>
      </c>
      <c r="DT7" s="115">
        <f>'1'!CD13-'1'!CC13</f>
        <v>948366.56</v>
      </c>
      <c r="DU7" s="115">
        <f>'1'!CE13-'1'!CD13</f>
        <v>1101148.2999999998</v>
      </c>
      <c r="DV7" s="115">
        <f>'1'!CF13-'1'!CE13</f>
        <v>1184611.6260000002</v>
      </c>
      <c r="DW7" s="115">
        <f>'1'!CG13-'1'!CF13</f>
        <v>1175606.6299999999</v>
      </c>
      <c r="DX7" s="115">
        <f>'1'!CH13-'1'!CG13</f>
        <v>1168928.6660000002</v>
      </c>
      <c r="DY7" s="115">
        <f>'1'!CI13-'1'!CH13</f>
        <v>1163803.9859999996</v>
      </c>
      <c r="DZ7" s="115">
        <f>'1'!CJ13-'1'!CI13</f>
        <v>1144495.5980000012</v>
      </c>
      <c r="EA7" s="115">
        <f>'1'!CK13-'1'!CJ13</f>
        <v>1143525.4899999984</v>
      </c>
      <c r="EB7" s="115">
        <f>'1'!CL13-'1'!CK13</f>
        <v>1134290.6260000002</v>
      </c>
      <c r="EC7" s="115">
        <f>'1'!CM13-'1'!CL13</f>
        <v>1313998.17</v>
      </c>
      <c r="ED7" s="115">
        <f>'1'!CO13</f>
        <v>1197099.889</v>
      </c>
      <c r="EE7" s="115">
        <f>'1'!CP13-'1'!CO13</f>
        <v>1075544.3429999999</v>
      </c>
      <c r="EF7" s="115">
        <f>'1'!CQ13-'1'!CP13</f>
        <v>982712.22600000026</v>
      </c>
      <c r="EG7" s="115">
        <f>'1'!CR13-'1'!CQ13</f>
        <v>1155370.0780000002</v>
      </c>
      <c r="EH7" s="115">
        <f>'1'!CS13-'1'!CR13</f>
        <v>1230647.0999999996</v>
      </c>
      <c r="EI7" s="115">
        <f>'1'!CT13-'1'!CS13</f>
        <v>1253873.0930000003</v>
      </c>
      <c r="EJ7" s="115">
        <f>'1'!CU13-'1'!CT13</f>
        <v>1238509.5449999999</v>
      </c>
      <c r="EK7" s="115">
        <f>'1'!CV13-'1'!CU13</f>
        <v>1259247.875</v>
      </c>
      <c r="EL7" s="115">
        <f>'1'!CW13-'1'!CV13</f>
        <v>1177867.6439999994</v>
      </c>
      <c r="EM7" s="115">
        <f>'1'!CX13-'1'!CW13</f>
        <v>1237640.790000001</v>
      </c>
      <c r="EN7" s="115">
        <f>'1'!CY13-'1'!CX13</f>
        <v>1207441.3959999997</v>
      </c>
      <c r="EO7" s="115">
        <f>'1'!CZ13-'1'!CY13</f>
        <v>1322799.3560000006</v>
      </c>
      <c r="EP7" s="115">
        <f>'1'!DB13</f>
        <v>1245064.9280000001</v>
      </c>
      <c r="EQ7" s="115">
        <f>'1'!DC13-'1'!DB13</f>
        <v>1168970.0870000001</v>
      </c>
      <c r="ER7" s="115">
        <f>'1'!DD13-'1'!DC13</f>
        <v>1051697.0249999999</v>
      </c>
      <c r="ES7" s="115">
        <f>'1'!DE13-'1'!DD13</f>
        <v>1254694.6859999998</v>
      </c>
      <c r="ET7" s="115">
        <f>'1'!DF13-'1'!DE13</f>
        <v>1269884.932</v>
      </c>
      <c r="EU7" s="115">
        <f>'1'!DG13-'1'!DF13</f>
        <v>1294126.7369999997</v>
      </c>
      <c r="EV7" s="115">
        <f>'1'!DH13-'1'!DG13</f>
        <v>1358438.3030000012</v>
      </c>
      <c r="EW7" s="218"/>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7"/>
      <c r="FZ7" s="67"/>
      <c r="GA7" s="67"/>
      <c r="GB7" s="67"/>
      <c r="GC7" s="67"/>
    </row>
    <row r="8" spans="1:185" s="50" customFormat="1" ht="15" customHeight="1">
      <c r="A8" s="19" t="s">
        <v>4</v>
      </c>
      <c r="B8" s="20">
        <v>22968.249</v>
      </c>
      <c r="C8" s="20">
        <v>30211.894999999997</v>
      </c>
      <c r="D8" s="20">
        <v>21699.113000000001</v>
      </c>
      <c r="E8" s="20">
        <v>63617.536999999997</v>
      </c>
      <c r="F8" s="20">
        <v>120543.329</v>
      </c>
      <c r="G8" s="20">
        <v>33419.572</v>
      </c>
      <c r="H8" s="20">
        <v>38025.993000000002</v>
      </c>
      <c r="I8" s="20">
        <v>34398.251000000004</v>
      </c>
      <c r="J8" s="20">
        <v>24557.922580000013</v>
      </c>
      <c r="K8" s="20">
        <v>26124.748000000007</v>
      </c>
      <c r="L8" s="20">
        <v>29990.13067999998</v>
      </c>
      <c r="M8" s="20">
        <v>36110.589580000022</v>
      </c>
      <c r="N8" s="20">
        <v>34396.315349999968</v>
      </c>
      <c r="O8" s="20">
        <v>30416.84731999999</v>
      </c>
      <c r="P8" s="20">
        <v>20994.764060000001</v>
      </c>
      <c r="Q8" s="20">
        <v>82355.133340000088</v>
      </c>
      <c r="R8" s="20">
        <v>45517.645929999977</v>
      </c>
      <c r="S8" s="20">
        <v>77571.358039999963</v>
      </c>
      <c r="T8" s="20">
        <v>37460.729960000011</v>
      </c>
      <c r="U8" s="20">
        <v>34359.845900000008</v>
      </c>
      <c r="V8" s="20">
        <v>24046.018750000007</v>
      </c>
      <c r="W8" s="20">
        <v>23890.315439999998</v>
      </c>
      <c r="X8" s="20">
        <v>30904.618350000001</v>
      </c>
      <c r="Y8" s="20">
        <v>57153.183859999881</v>
      </c>
      <c r="Z8" s="21">
        <v>20688.101180000016</v>
      </c>
      <c r="AA8" s="21">
        <v>29745.853479999998</v>
      </c>
      <c r="AB8" s="21">
        <v>24588.054409999997</v>
      </c>
      <c r="AC8" s="21">
        <v>63214.668499999825</v>
      </c>
      <c r="AD8" s="21">
        <v>122879.8157700002</v>
      </c>
      <c r="AE8" s="21">
        <v>28682.90768</v>
      </c>
      <c r="AF8" s="21">
        <v>65962.503179999985</v>
      </c>
      <c r="AG8" s="21">
        <v>32630.155959999996</v>
      </c>
      <c r="AH8" s="7">
        <v>75542.618460000012</v>
      </c>
      <c r="AI8" s="7">
        <v>25434.641690000011</v>
      </c>
      <c r="AJ8" s="7">
        <v>32854.938900000234</v>
      </c>
      <c r="AK8" s="7">
        <v>40773.8325199998</v>
      </c>
      <c r="AL8" s="7">
        <v>30851.260470000001</v>
      </c>
      <c r="AM8" s="7">
        <v>33499.464730000007</v>
      </c>
      <c r="AN8" s="7">
        <v>24777.418159999997</v>
      </c>
      <c r="AO8" s="7">
        <v>56242.184300000001</v>
      </c>
      <c r="AP8" s="7">
        <v>122149.31303</v>
      </c>
      <c r="AQ8" s="7">
        <v>68730.91436000001</v>
      </c>
      <c r="AR8" s="7">
        <v>29471.944050000006</v>
      </c>
      <c r="AS8" s="7">
        <v>47914.544930000004</v>
      </c>
      <c r="AT8" s="7">
        <v>22066.306639999988</v>
      </c>
      <c r="AU8" s="7">
        <v>29616.136879999995</v>
      </c>
      <c r="AV8" s="7">
        <v>36376.026419999995</v>
      </c>
      <c r="AW8" s="7">
        <v>32727.24195</v>
      </c>
      <c r="AX8" s="7">
        <v>29737.793310000001</v>
      </c>
      <c r="AY8" s="7">
        <v>26820.414219999999</v>
      </c>
      <c r="AZ8" s="7">
        <v>25545.815719999999</v>
      </c>
      <c r="BA8" s="48">
        <v>67589.412700000001</v>
      </c>
      <c r="BB8" s="48">
        <v>212609.40387000001</v>
      </c>
      <c r="BC8" s="48">
        <v>72412.967000000004</v>
      </c>
      <c r="BD8" s="48">
        <v>36892.646970000002</v>
      </c>
      <c r="BE8" s="48">
        <v>35441.643839999997</v>
      </c>
      <c r="BF8" s="7">
        <v>49769.968769999999</v>
      </c>
      <c r="BG8" s="7">
        <v>37591.96688</v>
      </c>
      <c r="BH8" s="7">
        <v>93128.835399999894</v>
      </c>
      <c r="BI8" s="7">
        <v>30205.994320000173</v>
      </c>
      <c r="BJ8" s="7">
        <v>29018.454000000002</v>
      </c>
      <c r="BK8" s="7">
        <v>28387.863000000001</v>
      </c>
      <c r="BL8" s="7">
        <v>34060.44</v>
      </c>
      <c r="BM8" s="7">
        <v>57645.278000000006</v>
      </c>
      <c r="BN8" s="7">
        <f>'1'!S14-'1'!R14</f>
        <v>242881.965</v>
      </c>
      <c r="BO8" s="7">
        <f>'1'!T14-'1'!S14</f>
        <v>42057</v>
      </c>
      <c r="BP8" s="7">
        <f>'1'!U14-'1'!T14</f>
        <v>38707.978000000003</v>
      </c>
      <c r="BQ8" s="7">
        <f>'1'!V14-'1'!U14</f>
        <v>35941.021999999997</v>
      </c>
      <c r="BR8" s="7">
        <f>'1'!W14-'1'!V14</f>
        <v>29656.731000000029</v>
      </c>
      <c r="BS8" s="7">
        <f>'1'!X14-'1'!W14</f>
        <v>34115.245999999926</v>
      </c>
      <c r="BT8" s="7">
        <f>'1'!Y14-'1'!X14</f>
        <v>35129.197000000044</v>
      </c>
      <c r="BU8" s="7">
        <f>'1'!Z14-'1'!Y14</f>
        <v>33653.214999999967</v>
      </c>
      <c r="BV8" s="7">
        <v>38342.595999999998</v>
      </c>
      <c r="BW8" s="7">
        <f>'1'!AC14-'1'!AB14</f>
        <v>32586.788000000008</v>
      </c>
      <c r="BX8" s="7">
        <f>'1'!AD14-'1'!AC14</f>
        <v>43737.656999999992</v>
      </c>
      <c r="BY8" s="7">
        <f>'1'!AE14-'1'!AD14</f>
        <v>65221.663</v>
      </c>
      <c r="BZ8" s="7">
        <f>'1'!AF14-'1'!AE14</f>
        <v>171934.99799999999</v>
      </c>
      <c r="CA8" s="7">
        <f>'1'!AG14-'1'!AF14</f>
        <v>91922.29800000001</v>
      </c>
      <c r="CB8" s="7">
        <f>'1'!AH14-'1'!AG14</f>
        <v>35600.609999999986</v>
      </c>
      <c r="CC8" s="7">
        <f>'1'!AI14-'1'!AH14</f>
        <v>32930.607000000018</v>
      </c>
      <c r="CD8" s="7">
        <f>'1'!AJ14-'1'!AI14</f>
        <v>32476.190000000002</v>
      </c>
      <c r="CE8" s="7">
        <f>'1'!AK14-'1'!AJ14</f>
        <v>38573.089999999967</v>
      </c>
      <c r="CF8" s="7">
        <f>'1'!AL14-'1'!AK14</f>
        <v>47569.358000000007</v>
      </c>
      <c r="CG8" s="7">
        <f>'1'!AM14-'1'!AL14</f>
        <v>40514.660000000033</v>
      </c>
      <c r="CH8" s="7">
        <v>31370.887999999999</v>
      </c>
      <c r="CI8" s="7">
        <f>'1'!AP14-'1'!AO14</f>
        <v>45121.068000000007</v>
      </c>
      <c r="CJ8" s="7">
        <f>'1'!AQ14-'1'!AP14</f>
        <v>35264.769</v>
      </c>
      <c r="CK8" s="7">
        <f>'1'!AR14-'1'!AQ14</f>
        <v>47331.274999999994</v>
      </c>
      <c r="CL8" s="7">
        <f>'1'!AS14-'1'!AR14</f>
        <v>194130.59999999998</v>
      </c>
      <c r="CM8" s="7">
        <f>'1'!AT14-'1'!AS14</f>
        <v>137903.23600000003</v>
      </c>
      <c r="CN8" s="7">
        <f>'1'!AU14-'1'!AT14</f>
        <v>43569.983000000007</v>
      </c>
      <c r="CO8" s="7">
        <f>'1'!AV14-'1'!AU14</f>
        <v>43156.871999999974</v>
      </c>
      <c r="CP8" s="7">
        <f>'1'!AW14-'1'!AV14</f>
        <v>57070.800000000047</v>
      </c>
      <c r="CQ8" s="7">
        <f>'1'!AX14-'1'!AW14</f>
        <v>48486.508999999962</v>
      </c>
      <c r="CR8" s="7">
        <f>'1'!AY14-'1'!AX14</f>
        <v>40268.400000000023</v>
      </c>
      <c r="CS8" s="7">
        <f>'1'!AZ14-'1'!AY14</f>
        <v>50335.594999999972</v>
      </c>
      <c r="CT8" s="7">
        <v>57283.078999999998</v>
      </c>
      <c r="CU8" s="7">
        <f>'1'!BC14-'1'!BB14</f>
        <v>46204.665000000008</v>
      </c>
      <c r="CV8" s="7">
        <f>'1'!BD14-'1'!BC14</f>
        <v>65464.437999999995</v>
      </c>
      <c r="CW8" s="7">
        <f>'1'!BE14-'1'!BD14</f>
        <v>67048.771000000008</v>
      </c>
      <c r="CX8" s="7">
        <f>'1'!BF14-'1'!BE14</f>
        <v>88414.715999999986</v>
      </c>
      <c r="CY8" s="7">
        <f>'1'!BG14-'1'!BF14</f>
        <v>128249.76299999998</v>
      </c>
      <c r="CZ8" s="7">
        <f>'1'!BH14-'1'!BG14</f>
        <v>133112.35800000007</v>
      </c>
      <c r="DA8" s="7">
        <f>'1'!BI14-'1'!BH14</f>
        <v>59638.621999999974</v>
      </c>
      <c r="DB8" s="7">
        <f>'1'!BJ14-'1'!BI14</f>
        <v>41622.447999999975</v>
      </c>
      <c r="DC8" s="7">
        <f>'1'!BK14-'1'!BJ14</f>
        <v>49702.570000000065</v>
      </c>
      <c r="DD8" s="7">
        <f>'1'!BL14-'1'!BK14</f>
        <v>59671.256999999983</v>
      </c>
      <c r="DE8" s="7">
        <f>'1'!BM14-'1'!BL14</f>
        <v>51171.358999999939</v>
      </c>
      <c r="DF8" s="7">
        <v>46895.817000000003</v>
      </c>
      <c r="DG8" s="115">
        <f>'1'!BP14-'1'!BO14</f>
        <v>55444.927999999993</v>
      </c>
      <c r="DH8" s="115">
        <f>'1'!BQ14-'1'!BP14</f>
        <v>53781.614000000001</v>
      </c>
      <c r="DI8" s="115">
        <f>'1'!BR14-'1'!BQ14</f>
        <v>77237.089000000007</v>
      </c>
      <c r="DJ8" s="115">
        <f>'1'!BS14-'1'!BR14</f>
        <v>192092.22</v>
      </c>
      <c r="DK8" s="115">
        <f>'1'!BT14-'1'!BS14</f>
        <v>237322.25700000004</v>
      </c>
      <c r="DL8" s="115">
        <f>'1'!BU14-'1'!BT14</f>
        <v>86506.563999999897</v>
      </c>
      <c r="DM8" s="115">
        <f>'1'!BV14-'1'!BU14</f>
        <v>54412.139000000083</v>
      </c>
      <c r="DN8" s="115">
        <f>'1'!BW14-'1'!BV14</f>
        <v>54637.887999999919</v>
      </c>
      <c r="DO8" s="115">
        <f>'1'!BX14-'1'!BW14</f>
        <v>62366.650000000023</v>
      </c>
      <c r="DP8" s="115">
        <f>'1'!BY14-'1'!BX14</f>
        <v>85156.538000000059</v>
      </c>
      <c r="DQ8" s="115">
        <f>'1'!BZ14-'1'!BY14</f>
        <v>58406.103000000003</v>
      </c>
      <c r="DR8" s="115">
        <v>91673.743000000002</v>
      </c>
      <c r="DS8" s="115">
        <f>'1'!CC14-'1'!CB14</f>
        <v>62936.034999999989</v>
      </c>
      <c r="DT8" s="115">
        <f>'1'!CD14-'1'!CC14</f>
        <v>48128.200000000012</v>
      </c>
      <c r="DU8" s="115">
        <f>'1'!CE14-'1'!CD14</f>
        <v>77884.472999999998</v>
      </c>
      <c r="DV8" s="115">
        <f>'1'!CF14-'1'!CE14</f>
        <v>104818.484</v>
      </c>
      <c r="DW8" s="115">
        <f>'1'!CG14-'1'!CF14</f>
        <v>443247.60200000001</v>
      </c>
      <c r="DX8" s="115">
        <f>'1'!CH14-'1'!CG14</f>
        <v>77237.886999999988</v>
      </c>
      <c r="DY8" s="115">
        <f>'1'!CI14-'1'!CH14</f>
        <v>56736.381000000052</v>
      </c>
      <c r="DZ8" s="115">
        <f>'1'!CJ14-'1'!CI14</f>
        <v>55541.926999999909</v>
      </c>
      <c r="EA8" s="115">
        <f>'1'!CK14-'1'!CJ14</f>
        <v>80275.670000000042</v>
      </c>
      <c r="EB8" s="115">
        <f>'1'!CL14-'1'!CK14</f>
        <v>73701.820000000065</v>
      </c>
      <c r="EC8" s="115">
        <f>'1'!CM14-'1'!CL14</f>
        <v>47824.013999999966</v>
      </c>
      <c r="ED8" s="115">
        <f>'1'!CO14</f>
        <v>72897.604999999996</v>
      </c>
      <c r="EE8" s="115">
        <f>'1'!CP14-'1'!CO14</f>
        <v>62986.465000000011</v>
      </c>
      <c r="EF8" s="115">
        <f>'1'!CQ14-'1'!CP14</f>
        <v>48597.046000000002</v>
      </c>
      <c r="EG8" s="115">
        <f>'1'!CR14-'1'!CQ14</f>
        <v>54495.926999999996</v>
      </c>
      <c r="EH8" s="115">
        <f>'1'!CS14-'1'!CR14</f>
        <v>62847.914999999979</v>
      </c>
      <c r="EI8" s="115">
        <f>'1'!CT14-'1'!CS14</f>
        <v>366531.39500000002</v>
      </c>
      <c r="EJ8" s="115">
        <f>'1'!CU14-'1'!CT14</f>
        <v>131632.99300000002</v>
      </c>
      <c r="EK8" s="115">
        <f>'1'!CV14-'1'!CU14</f>
        <v>91358.000999999931</v>
      </c>
      <c r="EL8" s="115">
        <f>'1'!CW14-'1'!CV14</f>
        <v>59268.605000000098</v>
      </c>
      <c r="EM8" s="115">
        <f>'1'!CX14-'1'!CW14</f>
        <v>65803.820999999996</v>
      </c>
      <c r="EN8" s="115">
        <f>'1'!CY14-'1'!CX14</f>
        <v>62498.63599999994</v>
      </c>
      <c r="EO8" s="115">
        <f>'1'!CZ14-'1'!CY14</f>
        <v>64618.638000000035</v>
      </c>
      <c r="EP8" s="115">
        <f>'1'!DB14</f>
        <v>69185.706999999995</v>
      </c>
      <c r="EQ8" s="115">
        <f>'1'!DC14-'1'!DB14</f>
        <v>72413.350000000006</v>
      </c>
      <c r="ER8" s="115">
        <f>'1'!DD14-'1'!DC14</f>
        <v>51844.268000000011</v>
      </c>
      <c r="ES8" s="115">
        <f>'1'!DE14-'1'!DD14</f>
        <v>80650.92300000001</v>
      </c>
      <c r="ET8" s="115">
        <f>'1'!DF14-'1'!DE14</f>
        <v>96584.757999999973</v>
      </c>
      <c r="EU8" s="115">
        <f>'1'!DG14-'1'!DF14</f>
        <v>337730.74799999996</v>
      </c>
      <c r="EV8" s="115">
        <f>'1'!DH14-'1'!DG14</f>
        <v>125353.179</v>
      </c>
      <c r="EW8" s="218"/>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row>
    <row r="9" spans="1:185" s="50" customFormat="1" ht="15" customHeight="1">
      <c r="A9" s="19" t="s">
        <v>5</v>
      </c>
      <c r="B9" s="20">
        <v>28396.460470000002</v>
      </c>
      <c r="C9" s="20">
        <v>26722.35327</v>
      </c>
      <c r="D9" s="20">
        <v>24066.257989999998</v>
      </c>
      <c r="E9" s="20">
        <v>28073.594439999997</v>
      </c>
      <c r="F9" s="20">
        <v>20843.132890000001</v>
      </c>
      <c r="G9" s="20">
        <v>22436.39071</v>
      </c>
      <c r="H9" s="20">
        <v>23569.04247</v>
      </c>
      <c r="I9" s="20">
        <v>25092.818589999995</v>
      </c>
      <c r="J9" s="20">
        <v>25924.110909999996</v>
      </c>
      <c r="K9" s="20">
        <v>26474.422960000004</v>
      </c>
      <c r="L9" s="20">
        <v>22660.530770000001</v>
      </c>
      <c r="M9" s="20">
        <v>25329.480470000006</v>
      </c>
      <c r="N9" s="20">
        <v>28655.893530000001</v>
      </c>
      <c r="O9" s="20">
        <v>27032.310819999999</v>
      </c>
      <c r="P9" s="20">
        <v>25812.185800000007</v>
      </c>
      <c r="Q9" s="20">
        <v>26956.199570000004</v>
      </c>
      <c r="R9" s="20">
        <v>23035.684970000002</v>
      </c>
      <c r="S9" s="20">
        <v>20988.906599999995</v>
      </c>
      <c r="T9" s="20">
        <v>27730.395590000004</v>
      </c>
      <c r="U9" s="20">
        <v>26094.966349999999</v>
      </c>
      <c r="V9" s="20">
        <v>26699.681480000003</v>
      </c>
      <c r="W9" s="20">
        <v>26205.483980000001</v>
      </c>
      <c r="X9" s="20">
        <v>24703.380479999996</v>
      </c>
      <c r="Y9" s="20">
        <v>25014.842769999996</v>
      </c>
      <c r="Z9" s="21">
        <v>32461.042119999987</v>
      </c>
      <c r="AA9" s="21">
        <v>29291.34261</v>
      </c>
      <c r="AB9" s="21">
        <v>27194.038840000005</v>
      </c>
      <c r="AC9" s="21">
        <v>29177.807939999999</v>
      </c>
      <c r="AD9" s="21">
        <v>24918.78011</v>
      </c>
      <c r="AE9" s="21">
        <v>22311.608509999998</v>
      </c>
      <c r="AF9" s="21">
        <v>28760.673759999998</v>
      </c>
      <c r="AG9" s="21">
        <v>28787.40223</v>
      </c>
      <c r="AH9" s="7">
        <v>27117.982280000026</v>
      </c>
      <c r="AI9" s="7">
        <v>30129.189080000007</v>
      </c>
      <c r="AJ9" s="7">
        <v>24097.397140000001</v>
      </c>
      <c r="AK9" s="7">
        <v>27923.461850000003</v>
      </c>
      <c r="AL9" s="7">
        <v>33089.499980000001</v>
      </c>
      <c r="AM9" s="7">
        <v>31983.549339999998</v>
      </c>
      <c r="AN9" s="7">
        <v>26961.573609999999</v>
      </c>
      <c r="AO9" s="7">
        <v>28069.151389999992</v>
      </c>
      <c r="AP9" s="7">
        <v>26564.06581</v>
      </c>
      <c r="AQ9" s="7">
        <v>23487.994280000003</v>
      </c>
      <c r="AR9" s="7">
        <v>27136.396250000005</v>
      </c>
      <c r="AS9" s="7">
        <v>30696.630889999997</v>
      </c>
      <c r="AT9" s="7">
        <v>22759.447489999995</v>
      </c>
      <c r="AU9" s="7">
        <v>31926.068729999999</v>
      </c>
      <c r="AV9" s="7">
        <v>27482.659990000004</v>
      </c>
      <c r="AW9" s="7">
        <v>28045.05157</v>
      </c>
      <c r="AX9" s="7">
        <v>37493.740619999997</v>
      </c>
      <c r="AY9" s="7">
        <v>28766.114379999999</v>
      </c>
      <c r="AZ9" s="7">
        <v>30123.219430000001</v>
      </c>
      <c r="BA9" s="48">
        <v>30537.088810000001</v>
      </c>
      <c r="BB9" s="48">
        <v>27928.789369999999</v>
      </c>
      <c r="BC9" s="48">
        <v>26237.986000000001</v>
      </c>
      <c r="BD9" s="48">
        <v>31282.262139999999</v>
      </c>
      <c r="BE9" s="48">
        <v>36180.871299999999</v>
      </c>
      <c r="BF9" s="7">
        <v>29506.366170000001</v>
      </c>
      <c r="BG9" s="7">
        <v>31386.747719999999</v>
      </c>
      <c r="BH9" s="7">
        <v>35769.774709999998</v>
      </c>
      <c r="BI9" s="7">
        <v>27047.187349999964</v>
      </c>
      <c r="BJ9" s="7">
        <v>42623.040000000001</v>
      </c>
      <c r="BK9" s="7">
        <v>41127.863000000005</v>
      </c>
      <c r="BL9" s="7">
        <v>26810.748999999989</v>
      </c>
      <c r="BM9" s="7">
        <v>34243.521000000008</v>
      </c>
      <c r="BN9" s="7">
        <f>'1'!S15-'1'!R15</f>
        <v>31150.82699999999</v>
      </c>
      <c r="BO9" s="7">
        <f>'1'!T15-'1'!S15</f>
        <v>24948</v>
      </c>
      <c r="BP9" s="7">
        <f>'1'!U15-'1'!T15</f>
        <v>34095.358000000007</v>
      </c>
      <c r="BQ9" s="7">
        <f>'1'!V15-'1'!U15</f>
        <v>37237.641999999993</v>
      </c>
      <c r="BR9" s="7">
        <f>'1'!W15-'1'!V15</f>
        <v>28508.989000000001</v>
      </c>
      <c r="BS9" s="7">
        <f>'1'!X15-'1'!W15</f>
        <v>30585.309999999998</v>
      </c>
      <c r="BT9" s="7">
        <f>'1'!Y15-'1'!X15</f>
        <v>27268.661000000022</v>
      </c>
      <c r="BU9" s="7">
        <f>'1'!Z15-'1'!Y15</f>
        <v>31408.574999999953</v>
      </c>
      <c r="BV9" s="7">
        <v>40276.877</v>
      </c>
      <c r="BW9" s="7">
        <f>'1'!AC15-'1'!AB15</f>
        <v>32917.280999999995</v>
      </c>
      <c r="BX9" s="7">
        <f>'1'!AD15-'1'!AC15</f>
        <v>27740.804000000004</v>
      </c>
      <c r="BY9" s="7">
        <f>'1'!AE15-'1'!AD15</f>
        <v>30746.253999999986</v>
      </c>
      <c r="BZ9" s="7">
        <f>'1'!AF15-'1'!AE15</f>
        <v>19103.84600000002</v>
      </c>
      <c r="CA9" s="7">
        <f>'1'!AG15-'1'!AF15</f>
        <v>22511.937999999995</v>
      </c>
      <c r="CB9" s="7">
        <f>'1'!AH15-'1'!AG15</f>
        <v>28557.617999999988</v>
      </c>
      <c r="CC9" s="7">
        <f>'1'!AI15-'1'!AH15</f>
        <v>35794.237000000023</v>
      </c>
      <c r="CD9" s="7">
        <f>'1'!AJ15-'1'!AI15</f>
        <v>28383.660000000003</v>
      </c>
      <c r="CE9" s="7">
        <f>'1'!AK15-'1'!AJ15</f>
        <v>32301.320000000007</v>
      </c>
      <c r="CF9" s="7">
        <f>'1'!AL15-'1'!AK15</f>
        <v>29509.157000000007</v>
      </c>
      <c r="CG9" s="7">
        <f>'1'!AM15-'1'!AL15</f>
        <v>25121.753999999957</v>
      </c>
      <c r="CH9" s="7">
        <v>33919.305</v>
      </c>
      <c r="CI9" s="7">
        <f>'1'!AP15-'1'!AO15</f>
        <v>27439.432000000001</v>
      </c>
      <c r="CJ9" s="7">
        <f>'1'!AQ15-'1'!AP15</f>
        <v>32398.156999999999</v>
      </c>
      <c r="CK9" s="7">
        <f>'1'!AR15-'1'!AQ15</f>
        <v>35802.328999999998</v>
      </c>
      <c r="CL9" s="7">
        <f>'1'!AS15-'1'!AR15</f>
        <v>22431.888000000006</v>
      </c>
      <c r="CM9" s="7">
        <f>'1'!AT15-'1'!AS15</f>
        <v>19483.679000000004</v>
      </c>
      <c r="CN9" s="7">
        <f>'1'!AU15-'1'!AT15</f>
        <v>37179.994999999995</v>
      </c>
      <c r="CO9" s="7">
        <f>'1'!AV15-'1'!AU15</f>
        <v>39490.766999999993</v>
      </c>
      <c r="CP9" s="7">
        <f>'1'!AW15-'1'!AV15</f>
        <v>30231.986999999994</v>
      </c>
      <c r="CQ9" s="7">
        <f>'1'!AX15-'1'!AW15</f>
        <v>33504.310999999987</v>
      </c>
      <c r="CR9" s="7">
        <f>'1'!AY15-'1'!AX15</f>
        <v>25790.550000000047</v>
      </c>
      <c r="CS9" s="7">
        <f>'1'!AZ15-'1'!AY15</f>
        <v>38649.321999999986</v>
      </c>
      <c r="CT9" s="7">
        <v>42298.248</v>
      </c>
      <c r="CU9" s="7">
        <f>'1'!BC15-'1'!BB15</f>
        <v>32050.550999999999</v>
      </c>
      <c r="CV9" s="7">
        <f>'1'!BD15-'1'!BC15</f>
        <v>36278.040999999997</v>
      </c>
      <c r="CW9" s="7">
        <f>'1'!BE15-'1'!BD15</f>
        <v>45819.083000000013</v>
      </c>
      <c r="CX9" s="7">
        <f>'1'!BF15-'1'!BE15</f>
        <v>33419.565999999992</v>
      </c>
      <c r="CY9" s="7">
        <f>'1'!BG15-'1'!BF15</f>
        <v>19739.620999999985</v>
      </c>
      <c r="CZ9" s="7">
        <f>'1'!BH15-'1'!BG15</f>
        <v>30624.589000000007</v>
      </c>
      <c r="DA9" s="7">
        <f>'1'!BI15-'1'!BH15</f>
        <v>44575.533000000025</v>
      </c>
      <c r="DB9" s="7">
        <f>'1'!BJ15-'1'!BI15</f>
        <v>38233.892999999982</v>
      </c>
      <c r="DC9" s="7">
        <f>'1'!BK15-'1'!BJ15</f>
        <v>39471.829000000027</v>
      </c>
      <c r="DD9" s="7">
        <f>'1'!BL15-'1'!BK15</f>
        <v>26547.196999999986</v>
      </c>
      <c r="DE9" s="7">
        <f>'1'!BM15-'1'!BL15</f>
        <v>38661.189000000013</v>
      </c>
      <c r="DF9" s="7">
        <v>49138.046999999999</v>
      </c>
      <c r="DG9" s="115">
        <f>'1'!BP15-'1'!BO15</f>
        <v>37544.480000000003</v>
      </c>
      <c r="DH9" s="115">
        <f>'1'!BQ15-'1'!BP15</f>
        <v>40866.679000000004</v>
      </c>
      <c r="DI9" s="115">
        <f>'1'!BR15-'1'!BQ15</f>
        <v>41230.321999999986</v>
      </c>
      <c r="DJ9" s="115">
        <f>'1'!BS15-'1'!BR15</f>
        <v>40441.157999999996</v>
      </c>
      <c r="DK9" s="115">
        <f>'1'!BT15-'1'!BS15</f>
        <v>26365.90400000001</v>
      </c>
      <c r="DL9" s="115">
        <f>'1'!BU15-'1'!BT15</f>
        <v>48088.752000000008</v>
      </c>
      <c r="DM9" s="115">
        <f>'1'!BV15-'1'!BU15</f>
        <v>55467.156000000017</v>
      </c>
      <c r="DN9" s="115">
        <f>'1'!BW15-'1'!BV15</f>
        <v>39824.464999999967</v>
      </c>
      <c r="DO9" s="115">
        <f>'1'!BX15-'1'!BW15</f>
        <v>38754.782999999996</v>
      </c>
      <c r="DP9" s="115">
        <f>'1'!BY15-'1'!BX15</f>
        <v>35948.121000000043</v>
      </c>
      <c r="DQ9" s="115">
        <f>'1'!BZ15-'1'!BY15</f>
        <v>36750.430999999982</v>
      </c>
      <c r="DR9" s="115">
        <v>57283.148999999998</v>
      </c>
      <c r="DS9" s="115">
        <f>'1'!CC15-'1'!CB15</f>
        <v>47780.128000000004</v>
      </c>
      <c r="DT9" s="115">
        <f>'1'!CD15-'1'!CC15</f>
        <v>43479.033999999985</v>
      </c>
      <c r="DU9" s="115">
        <f>'1'!CE15-'1'!CD15</f>
        <v>49427.97100000002</v>
      </c>
      <c r="DV9" s="115">
        <f>'1'!CF15-'1'!CE15</f>
        <v>39882.815999999992</v>
      </c>
      <c r="DW9" s="115">
        <f>'1'!CG15-'1'!CF15</f>
        <v>37234.499000000011</v>
      </c>
      <c r="DX9" s="115">
        <f>'1'!CH15-'1'!CG15</f>
        <v>38019.54800000001</v>
      </c>
      <c r="DY9" s="115">
        <f>'1'!CI15-'1'!CH15</f>
        <v>53724.829999999958</v>
      </c>
      <c r="DZ9" s="115">
        <f>'1'!CJ15-'1'!CI15</f>
        <v>42287.492000000027</v>
      </c>
      <c r="EA9" s="115">
        <f>'1'!CK15-'1'!CJ15</f>
        <v>48053.766000000003</v>
      </c>
      <c r="EB9" s="115">
        <f>'1'!CL15-'1'!CK15</f>
        <v>35042.076000000001</v>
      </c>
      <c r="EC9" s="115">
        <f>'1'!CM15-'1'!CL15</f>
        <v>46342.266999999993</v>
      </c>
      <c r="ED9" s="115">
        <f>'1'!CO15</f>
        <v>60362.139000000003</v>
      </c>
      <c r="EE9" s="115">
        <f>'1'!CP15-'1'!CO15</f>
        <v>36315.863999999994</v>
      </c>
      <c r="EF9" s="115">
        <f>'1'!CQ15-'1'!CP15</f>
        <v>44533.453000000009</v>
      </c>
      <c r="EG9" s="115">
        <f>'1'!CR15-'1'!CQ15</f>
        <v>52597.654999999999</v>
      </c>
      <c r="EH9" s="115">
        <f>'1'!CS15-'1'!CR15</f>
        <v>58700.840999999986</v>
      </c>
      <c r="EI9" s="115">
        <f>'1'!CT15-'1'!CS15</f>
        <v>34125.103000000003</v>
      </c>
      <c r="EJ9" s="115">
        <f>'1'!CU15-'1'!CT15</f>
        <v>45058.155000000028</v>
      </c>
      <c r="EK9" s="115">
        <f>'1'!CV15-'1'!CU15</f>
        <v>69227.387999999977</v>
      </c>
      <c r="EL9" s="115">
        <f>'1'!CW15-'1'!CV15</f>
        <v>44678.70199999999</v>
      </c>
      <c r="EM9" s="115">
        <f>'1'!CX15-'1'!CW15</f>
        <v>39937.082999999984</v>
      </c>
      <c r="EN9" s="115">
        <f>'1'!CY15-'1'!CX15</f>
        <v>38111.236000000034</v>
      </c>
      <c r="EO9" s="115">
        <f>'1'!CZ15-'1'!CY15</f>
        <v>42827.977000000014</v>
      </c>
      <c r="EP9" s="115">
        <f>'1'!DB15</f>
        <v>55720.925999999999</v>
      </c>
      <c r="EQ9" s="115">
        <f>'1'!DC15-'1'!DB15</f>
        <v>58694.392</v>
      </c>
      <c r="ER9" s="115">
        <f>'1'!DD15-'1'!DC15</f>
        <v>47529.094000000012</v>
      </c>
      <c r="ES9" s="115">
        <f>'1'!DE15-'1'!DD15</f>
        <v>53603.036999999982</v>
      </c>
      <c r="ET9" s="115">
        <f>'1'!DF15-'1'!DE15</f>
        <v>39051.532999999996</v>
      </c>
      <c r="EU9" s="115">
        <f>'1'!DG15-'1'!DF15</f>
        <v>43643.388000000006</v>
      </c>
      <c r="EV9" s="115">
        <f>'1'!DH15-'1'!DG15</f>
        <v>41807.392999999982</v>
      </c>
      <c r="EW9" s="218"/>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row>
    <row r="10" spans="1:185" s="50" customFormat="1" ht="15" customHeight="1">
      <c r="A10" s="19" t="s">
        <v>179</v>
      </c>
      <c r="B10" s="20">
        <v>53103.180999999997</v>
      </c>
      <c r="C10" s="20">
        <v>160948.215</v>
      </c>
      <c r="D10" s="20">
        <v>65834.784</v>
      </c>
      <c r="E10" s="20">
        <v>59968.930999999997</v>
      </c>
      <c r="F10" s="20">
        <v>12692.233999999999</v>
      </c>
      <c r="G10" s="20">
        <v>312935.79499999998</v>
      </c>
      <c r="H10" s="20">
        <v>66838.663</v>
      </c>
      <c r="I10" s="20">
        <v>52369.074000000001</v>
      </c>
      <c r="J10" s="20">
        <v>68556.11</v>
      </c>
      <c r="K10" s="20">
        <v>92964.04800000001</v>
      </c>
      <c r="L10" s="20">
        <v>18314.238000000001</v>
      </c>
      <c r="M10" s="20">
        <v>105900.47099999999</v>
      </c>
      <c r="N10" s="20">
        <v>79886.97600000001</v>
      </c>
      <c r="O10" s="20">
        <v>107395.633</v>
      </c>
      <c r="P10" s="20">
        <v>177902.74500000002</v>
      </c>
      <c r="Q10" s="20">
        <v>176974.644</v>
      </c>
      <c r="R10" s="20">
        <v>67801.087</v>
      </c>
      <c r="S10" s="20">
        <v>115662.58500000001</v>
      </c>
      <c r="T10" s="20">
        <v>8293.780999999999</v>
      </c>
      <c r="U10" s="20">
        <v>133108.09</v>
      </c>
      <c r="V10" s="20">
        <v>6640.2710000000006</v>
      </c>
      <c r="W10" s="20">
        <v>84785.456999999995</v>
      </c>
      <c r="X10" s="20">
        <v>5963.4989999999998</v>
      </c>
      <c r="Y10" s="20">
        <v>41181.596999999994</v>
      </c>
      <c r="Z10" s="21">
        <v>78913.05</v>
      </c>
      <c r="AA10" s="21">
        <v>206735.587</v>
      </c>
      <c r="AB10" s="21">
        <v>38466.993999999999</v>
      </c>
      <c r="AC10" s="21">
        <v>52091.31</v>
      </c>
      <c r="AD10" s="21">
        <v>55637.027999999998</v>
      </c>
      <c r="AE10" s="21">
        <v>71178.276999999987</v>
      </c>
      <c r="AF10" s="21">
        <v>8044.6410000000005</v>
      </c>
      <c r="AG10" s="21">
        <v>40724.682000000001</v>
      </c>
      <c r="AH10" s="7">
        <v>7776.5339999999997</v>
      </c>
      <c r="AI10" s="7">
        <v>49365.712</v>
      </c>
      <c r="AJ10" s="7">
        <v>38381.538</v>
      </c>
      <c r="AK10" s="7">
        <v>103341.821</v>
      </c>
      <c r="AL10" s="7">
        <v>79341.486999999994</v>
      </c>
      <c r="AM10" s="7">
        <v>161807.24299999999</v>
      </c>
      <c r="AN10" s="7">
        <v>43170.622000000003</v>
      </c>
      <c r="AO10" s="7">
        <v>91077.338000000003</v>
      </c>
      <c r="AP10" s="7">
        <v>8948.2960000000003</v>
      </c>
      <c r="AQ10" s="7">
        <v>86716.922999999995</v>
      </c>
      <c r="AR10" s="7">
        <v>44288.63</v>
      </c>
      <c r="AS10" s="7">
        <v>31173.327000000001</v>
      </c>
      <c r="AT10" s="7">
        <v>13630.281999999999</v>
      </c>
      <c r="AU10" s="7">
        <v>66070.5</v>
      </c>
      <c r="AV10" s="7">
        <v>8592.5379999999986</v>
      </c>
      <c r="AW10" s="7">
        <v>94301.308999999994</v>
      </c>
      <c r="AX10" s="7">
        <v>113419.356</v>
      </c>
      <c r="AY10" s="7">
        <v>219850.97700000001</v>
      </c>
      <c r="AZ10" s="7">
        <v>38136.504000000001</v>
      </c>
      <c r="BA10" s="48">
        <v>105809.28044</v>
      </c>
      <c r="BB10" s="48">
        <v>67942.243000000002</v>
      </c>
      <c r="BC10" s="48">
        <v>35412.20751</v>
      </c>
      <c r="BD10" s="48">
        <v>253511.24799999999</v>
      </c>
      <c r="BE10" s="48">
        <v>81128.623999999996</v>
      </c>
      <c r="BF10" s="7">
        <v>12097.934999999999</v>
      </c>
      <c r="BG10" s="7">
        <v>106497.72</v>
      </c>
      <c r="BH10" s="7">
        <v>21535.215</v>
      </c>
      <c r="BI10" s="7">
        <v>75890.489050000207</v>
      </c>
      <c r="BJ10" s="7">
        <v>184515.636</v>
      </c>
      <c r="BK10" s="7">
        <v>259009.58399999997</v>
      </c>
      <c r="BL10" s="7">
        <v>23944.964000000036</v>
      </c>
      <c r="BM10" s="7">
        <v>182909.272</v>
      </c>
      <c r="BN10" s="7">
        <f>'1'!S16-'1'!R16</f>
        <v>67714.543999999994</v>
      </c>
      <c r="BO10" s="7">
        <f>'1'!T16-'1'!S16</f>
        <v>281513</v>
      </c>
      <c r="BP10" s="7">
        <f>'1'!U16-'1'!T16</f>
        <v>31221.733000000007</v>
      </c>
      <c r="BQ10" s="7">
        <f>'1'!V16-'1'!U16</f>
        <v>423.26699999999255</v>
      </c>
      <c r="BR10" s="7">
        <f>'1'!W16-'1'!V16</f>
        <v>-52850.103000000003</v>
      </c>
      <c r="BS10" s="7">
        <f>'1'!X16-'1'!W16</f>
        <v>150773.93799999997</v>
      </c>
      <c r="BT10" s="7">
        <f>'1'!Y16-'1'!X16</f>
        <v>9380.8400000000838</v>
      </c>
      <c r="BU10" s="7">
        <f>'1'!Z16-'1'!Y16</f>
        <v>181985.01799999992</v>
      </c>
      <c r="BV10" s="7">
        <v>99456.307000000001</v>
      </c>
      <c r="BW10" s="7">
        <f>'1'!AC16-'1'!AB16</f>
        <v>209372.02099999998</v>
      </c>
      <c r="BX10" s="7">
        <f>'1'!AD16-'1'!AC16</f>
        <v>95832.915000000037</v>
      </c>
      <c r="BY10" s="7">
        <f>'1'!AE16-'1'!AD16</f>
        <v>225610.68999999994</v>
      </c>
      <c r="BZ10" s="7">
        <f>'1'!AF16-'1'!AE16</f>
        <v>92928.416000000085</v>
      </c>
      <c r="CA10" s="7">
        <f>'1'!AG16-'1'!AF16</f>
        <v>12258.650999999954</v>
      </c>
      <c r="CB10" s="7">
        <f>'1'!AH16-'1'!AG16</f>
        <v>276884.027</v>
      </c>
      <c r="CC10" s="7">
        <f>'1'!AI16-'1'!AH16</f>
        <v>32411.273999999976</v>
      </c>
      <c r="CD10" s="7">
        <f>'1'!AJ16-'1'!AI16</f>
        <v>3981.4089999999851</v>
      </c>
      <c r="CE10" s="7">
        <f>'1'!AK16-'1'!AJ16</f>
        <v>10270.583000000101</v>
      </c>
      <c r="CF10" s="7">
        <f>'1'!AL16-'1'!AK16</f>
        <v>20220.415000000037</v>
      </c>
      <c r="CG10" s="7">
        <f>'1'!AM16-'1'!AL16</f>
        <v>204503.9169999999</v>
      </c>
      <c r="CH10" s="7">
        <v>177337.617</v>
      </c>
      <c r="CI10" s="7">
        <f>'1'!AP16-'1'!AO16</f>
        <v>242408.02</v>
      </c>
      <c r="CJ10" s="7">
        <f>'1'!AQ16-'1'!AP16</f>
        <v>23837.261999999988</v>
      </c>
      <c r="CK10" s="7">
        <f>'1'!AR16-'1'!AQ16</f>
        <v>178266.93800000008</v>
      </c>
      <c r="CL10" s="7">
        <f>'1'!AS16-'1'!AR16</f>
        <v>37287.000999999931</v>
      </c>
      <c r="CM10" s="7">
        <f>'1'!AT16-'1'!AS16</f>
        <v>50373.17200000002</v>
      </c>
      <c r="CN10" s="7">
        <f>'1'!AU16-'1'!AT16</f>
        <v>157950.51300000004</v>
      </c>
      <c r="CO10" s="7">
        <f>'1'!AV16-'1'!AU16</f>
        <v>42855.712999999989</v>
      </c>
      <c r="CP10" s="7">
        <f>'1'!AW16-'1'!AV16</f>
        <v>244780.56799999997</v>
      </c>
      <c r="CQ10" s="7">
        <f>'1'!AX16-'1'!AW16</f>
        <v>15511.946999999927</v>
      </c>
      <c r="CR10" s="7">
        <f>'1'!AY16-'1'!AX16</f>
        <v>152279.14899999998</v>
      </c>
      <c r="CS10" s="7">
        <f>'1'!AZ16-'1'!AY16</f>
        <v>67377.060999999987</v>
      </c>
      <c r="CT10" s="7">
        <v>188666.63</v>
      </c>
      <c r="CU10" s="7">
        <f>'1'!BC16-'1'!BB16</f>
        <v>217068.33299999998</v>
      </c>
      <c r="CV10" s="7">
        <f>'1'!BD16-'1'!BC16</f>
        <v>25037.127000000037</v>
      </c>
      <c r="CW10" s="7">
        <f>'1'!BE16-'1'!BD16</f>
        <v>169923.77399999992</v>
      </c>
      <c r="CX10" s="7">
        <f>'1'!BF16-'1'!BE16</f>
        <v>40998.900000000023</v>
      </c>
      <c r="CY10" s="7">
        <f>'1'!BG16-'1'!BF16</f>
        <v>72940.314000000013</v>
      </c>
      <c r="CZ10" s="7">
        <f>'1'!BH16-'1'!BG16</f>
        <v>26066.390000000014</v>
      </c>
      <c r="DA10" s="7">
        <f>'1'!BI16-'1'!BH16</f>
        <v>147750.76199999999</v>
      </c>
      <c r="DB10" s="7">
        <f>'1'!BJ16-'1'!BI16</f>
        <v>13920.363000000012</v>
      </c>
      <c r="DC10" s="7">
        <f>'1'!BK16-'1'!BJ16</f>
        <v>217827.47100000002</v>
      </c>
      <c r="DD10" s="7">
        <f>'1'!BL16-'1'!BK16</f>
        <v>136941.32899999991</v>
      </c>
      <c r="DE10" s="7">
        <f>'1'!BM16-'1'!BL16</f>
        <v>182517.17400000012</v>
      </c>
      <c r="DF10" s="7">
        <v>134202.26999999999</v>
      </c>
      <c r="DG10" s="115">
        <f>'1'!BP16-'1'!BO16</f>
        <v>258501.93500000003</v>
      </c>
      <c r="DH10" s="115">
        <f>'1'!BQ16-'1'!BP16</f>
        <v>8460.6209999999846</v>
      </c>
      <c r="DI10" s="115">
        <f>'1'!BR16-'1'!BQ16</f>
        <v>210513.09199999995</v>
      </c>
      <c r="DJ10" s="115">
        <f>'1'!BS16-'1'!BR16</f>
        <v>98076.59600000002</v>
      </c>
      <c r="DK10" s="115">
        <f>'1'!BT16-'1'!BS16</f>
        <v>17001.777000000002</v>
      </c>
      <c r="DL10" s="115">
        <f>'1'!BU16-'1'!BT16</f>
        <v>216351.62199999997</v>
      </c>
      <c r="DM10" s="115">
        <f>'1'!BV16-'1'!BU16</f>
        <v>73018.22900000005</v>
      </c>
      <c r="DN10" s="115">
        <f>'1'!BW16-'1'!BV16</f>
        <v>48172.45299999998</v>
      </c>
      <c r="DO10" s="115">
        <f>'1'!BX16-'1'!BW16</f>
        <v>16310.769000000088</v>
      </c>
      <c r="DP10" s="115">
        <f>'1'!BY16-'1'!BX16</f>
        <v>213370.875</v>
      </c>
      <c r="DQ10" s="115">
        <f>'1'!BZ16-'1'!BY16</f>
        <v>90602.706000000006</v>
      </c>
      <c r="DR10" s="115">
        <v>327834.74400000001</v>
      </c>
      <c r="DS10" s="115">
        <f>'1'!CC16-'1'!CB16</f>
        <v>219997.24000000005</v>
      </c>
      <c r="DT10" s="115">
        <f>'1'!CD16-'1'!CC16</f>
        <v>143295.9709999999</v>
      </c>
      <c r="DU10" s="115">
        <f>'1'!CE16-'1'!CD16</f>
        <v>187049.61200000008</v>
      </c>
      <c r="DV10" s="115">
        <f>'1'!CF16-'1'!CE16</f>
        <v>382352.75699999998</v>
      </c>
      <c r="DW10" s="115">
        <f>'1'!CG16-'1'!CF16</f>
        <v>133342.14800000004</v>
      </c>
      <c r="DX10" s="115">
        <f>'1'!CH16-'1'!CG16</f>
        <v>194442.23999999999</v>
      </c>
      <c r="DY10" s="115">
        <f>'1'!CI16-'1'!CH16</f>
        <v>100189.50899999985</v>
      </c>
      <c r="DZ10" s="115">
        <f>'1'!CJ16-'1'!CI16</f>
        <v>19126.847000000067</v>
      </c>
      <c r="EA10" s="115">
        <f>'1'!CK16-'1'!CJ16</f>
        <v>10698.983999999939</v>
      </c>
      <c r="EB10" s="115">
        <f>'1'!CL16-'1'!CK16</f>
        <v>21526.618000000017</v>
      </c>
      <c r="EC10" s="115">
        <f>'1'!CM16-'1'!CL16</f>
        <v>61594.915000000037</v>
      </c>
      <c r="ED10" s="115">
        <f>'1'!CO16</f>
        <v>119758.12</v>
      </c>
      <c r="EE10" s="115">
        <f>'1'!CP16-'1'!CO16</f>
        <v>267285.88799999998</v>
      </c>
      <c r="EF10" s="115">
        <f>'1'!CQ16-'1'!CP16</f>
        <v>85036.917000000016</v>
      </c>
      <c r="EG10" s="115">
        <f>'1'!CR16-'1'!CQ16</f>
        <v>134365.99599999998</v>
      </c>
      <c r="EH10" s="115">
        <f>'1'!CS16-'1'!CR16</f>
        <v>420043.68700000003</v>
      </c>
      <c r="EI10" s="115">
        <f>'1'!CT16-'1'!CS16</f>
        <v>52966.618000000017</v>
      </c>
      <c r="EJ10" s="115">
        <f>'1'!CU16-'1'!CT16</f>
        <v>8141.4139999998733</v>
      </c>
      <c r="EK10" s="115">
        <f>'1'!CV16-'1'!CU16</f>
        <v>190082.76600000006</v>
      </c>
      <c r="EL10" s="115">
        <f>'1'!CW16-'1'!CV16</f>
        <v>12250.145000000019</v>
      </c>
      <c r="EM10" s="115">
        <f>'1'!CX16-'1'!CW16</f>
        <v>7698.0360000000801</v>
      </c>
      <c r="EN10" s="115">
        <f>'1'!CY16-'1'!CX16</f>
        <v>27186.199000000022</v>
      </c>
      <c r="EO10" s="115">
        <f>'1'!CZ16-'1'!CY16</f>
        <v>401562.24099999992</v>
      </c>
      <c r="EP10" s="115">
        <f>'1'!DB16</f>
        <v>131841.73000000001</v>
      </c>
      <c r="EQ10" s="115">
        <f>'1'!DC16-'1'!DB16</f>
        <v>741620.15100000007</v>
      </c>
      <c r="ER10" s="115">
        <f>'1'!DD16-'1'!DC16</f>
        <v>90599.962999999989</v>
      </c>
      <c r="ES10" s="115">
        <f>'1'!DE16-'1'!DD16</f>
        <v>40540.140000000014</v>
      </c>
      <c r="ET10" s="115">
        <f>'1'!DF16-'1'!DE16</f>
        <v>484760.04299999995</v>
      </c>
      <c r="EU10" s="115">
        <f>'1'!DG16-'1'!DF16</f>
        <v>87015.567000000039</v>
      </c>
      <c r="EV10" s="115">
        <f>'1'!DH16-'1'!DG16</f>
        <v>28197.714999999851</v>
      </c>
      <c r="EW10" s="218"/>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row>
    <row r="11" spans="1:185" s="50" customFormat="1" ht="15" customHeight="1">
      <c r="A11" s="6" t="s">
        <v>196</v>
      </c>
      <c r="B11" s="20">
        <v>1340.1399700000002</v>
      </c>
      <c r="C11" s="20">
        <v>435.60701</v>
      </c>
      <c r="D11" s="20">
        <v>404.78300000000002</v>
      </c>
      <c r="E11" s="20">
        <v>506.53924999999998</v>
      </c>
      <c r="F11" s="20">
        <v>281.77325000000002</v>
      </c>
      <c r="G11" s="20">
        <v>460.08089000000001</v>
      </c>
      <c r="H11" s="20">
        <v>275.56433000000004</v>
      </c>
      <c r="I11" s="20">
        <v>1269.6462899999999</v>
      </c>
      <c r="J11" s="20">
        <v>793.64940999999988</v>
      </c>
      <c r="K11" s="20">
        <v>609.00031000000001</v>
      </c>
      <c r="L11" s="20">
        <v>552.33719999999994</v>
      </c>
      <c r="M11" s="20">
        <v>1368.58053</v>
      </c>
      <c r="N11" s="20">
        <v>464.57435000000004</v>
      </c>
      <c r="O11" s="20">
        <v>1509.5657199999507</v>
      </c>
      <c r="P11" s="20">
        <v>600.38551000004645</v>
      </c>
      <c r="Q11" s="20">
        <v>590.22105000009878</v>
      </c>
      <c r="R11" s="20">
        <v>222.30665000008466</v>
      </c>
      <c r="S11" s="20">
        <v>1084.3485800000585</v>
      </c>
      <c r="T11" s="20">
        <v>261.5815999997115</v>
      </c>
      <c r="U11" s="20">
        <v>-12.123770000081052</v>
      </c>
      <c r="V11" s="20">
        <v>176.36720999985218</v>
      </c>
      <c r="W11" s="20">
        <v>-165.13208999986901</v>
      </c>
      <c r="X11" s="20">
        <v>-283.11632000011923</v>
      </c>
      <c r="Y11" s="20">
        <v>1854.3104999996663</v>
      </c>
      <c r="Z11" s="21">
        <v>649.71282999999698</v>
      </c>
      <c r="AA11" s="21">
        <v>577.05836999999156</v>
      </c>
      <c r="AB11" s="21">
        <v>-146.62995999997855</v>
      </c>
      <c r="AC11" s="21">
        <v>-134.9092000000083</v>
      </c>
      <c r="AD11" s="21">
        <v>520.27147999986539</v>
      </c>
      <c r="AE11" s="21">
        <v>-39.027260000019659</v>
      </c>
      <c r="AF11" s="21">
        <v>620.51042000005555</v>
      </c>
      <c r="AG11" s="21">
        <v>517.64446000043608</v>
      </c>
      <c r="AH11" s="7">
        <v>-300.47871999906351</v>
      </c>
      <c r="AI11" s="7">
        <v>-197.9948199992478</v>
      </c>
      <c r="AJ11" s="7">
        <v>67.452200000000587</v>
      </c>
      <c r="AK11" s="7">
        <v>2063.4277499999998</v>
      </c>
      <c r="AL11" s="7">
        <v>2054.4384899999873</v>
      </c>
      <c r="AM11" s="7">
        <v>494.75930000003729</v>
      </c>
      <c r="AN11" s="7">
        <v>-21.473650000008643</v>
      </c>
      <c r="AO11" s="7">
        <v>-2.4249800001382713</v>
      </c>
      <c r="AP11" s="7">
        <v>766.02151999990701</v>
      </c>
      <c r="AQ11" s="7">
        <v>688.63740999996298</v>
      </c>
      <c r="AR11" s="7">
        <v>187.66277999994608</v>
      </c>
      <c r="AS11" s="7">
        <v>774.68310000063479</v>
      </c>
      <c r="AT11" s="7">
        <v>256.64179000028662</v>
      </c>
      <c r="AU11" s="7">
        <v>1450.1117600000121</v>
      </c>
      <c r="AV11" s="7">
        <v>457.86545000000001</v>
      </c>
      <c r="AW11" s="7">
        <v>539.94397999999501</v>
      </c>
      <c r="AX11" s="7">
        <v>2757.73830000001</v>
      </c>
      <c r="AY11" s="7">
        <v>238.80715999993001</v>
      </c>
      <c r="AZ11" s="7">
        <v>-496.53610000002402</v>
      </c>
      <c r="BA11" s="7">
        <v>-165.53425999989599</v>
      </c>
      <c r="BB11" s="7">
        <v>1007.44196999999</v>
      </c>
      <c r="BC11" s="7">
        <v>-982.86400000000003</v>
      </c>
      <c r="BD11" s="7">
        <v>945.12874000026704</v>
      </c>
      <c r="BE11" s="7">
        <v>-167.067929999787</v>
      </c>
      <c r="BF11" s="7">
        <v>1666.3398700004</v>
      </c>
      <c r="BG11" s="7">
        <v>-1229.45518999976</v>
      </c>
      <c r="BH11" s="7">
        <v>-146.691649999747</v>
      </c>
      <c r="BI11" s="7">
        <v>500.41908999861698</v>
      </c>
      <c r="BJ11" s="7">
        <v>1875.5260000000001</v>
      </c>
      <c r="BK11" s="7">
        <v>394.92699999999991</v>
      </c>
      <c r="BL11" s="7">
        <v>63.797000000000025</v>
      </c>
      <c r="BM11" s="7">
        <v>-312.52199999999993</v>
      </c>
      <c r="BN11" s="7">
        <f>'1'!S17-'1'!R17</f>
        <v>370.27199999999993</v>
      </c>
      <c r="BO11" s="7">
        <f>'1'!T17-'1'!S17</f>
        <v>106</v>
      </c>
      <c r="BP11" s="7">
        <f>'1'!U17-'1'!T17</f>
        <v>-382.38900000000012</v>
      </c>
      <c r="BQ11" s="7">
        <f>'1'!V17-'1'!U17</f>
        <v>486.00800000000027</v>
      </c>
      <c r="BR11" s="7">
        <f>'1'!W17-'1'!V17</f>
        <v>-156.16800000000012</v>
      </c>
      <c r="BS11" s="7">
        <f>'1'!X17-'1'!W17</f>
        <v>307.68199999999979</v>
      </c>
      <c r="BT11" s="7">
        <f>'1'!Y17-'1'!X17</f>
        <v>-770.00999999999976</v>
      </c>
      <c r="BU11" s="7">
        <f>'1'!Z17-'1'!Y17</f>
        <v>3232.377</v>
      </c>
      <c r="BV11" s="7">
        <v>2491.4650000000001</v>
      </c>
      <c r="BW11" s="7">
        <f>'1'!AC17-'1'!AB17</f>
        <v>-61.420000000000073</v>
      </c>
      <c r="BX11" s="7">
        <f>'1'!AD17-'1'!AC17</f>
        <v>858.90299999999979</v>
      </c>
      <c r="BY11" s="7">
        <f>'1'!AE17-'1'!AD17</f>
        <v>-2747.6210000000001</v>
      </c>
      <c r="BZ11" s="7">
        <f>'1'!AF17-'1'!AE17</f>
        <v>2398.1909999999998</v>
      </c>
      <c r="CA11" s="7">
        <f>'1'!AG17-'1'!AF17</f>
        <v>159.48199999999997</v>
      </c>
      <c r="CB11" s="7">
        <f>'1'!AH17-'1'!AG17</f>
        <v>-463.04199999999992</v>
      </c>
      <c r="CC11" s="7">
        <f>'1'!AI17-'1'!AH17</f>
        <v>509.77199999999993</v>
      </c>
      <c r="CD11" s="7">
        <f>'1'!AJ17-'1'!AI17</f>
        <v>625.48</v>
      </c>
      <c r="CE11" s="7">
        <f>'1'!AK17-'1'!AJ17</f>
        <v>-2715.4560000000001</v>
      </c>
      <c r="CF11" s="7">
        <f>'1'!AL17-'1'!AK17</f>
        <v>2595.0080000000003</v>
      </c>
      <c r="CG11" s="7">
        <f>'1'!AM17-'1'!AL17</f>
        <v>2202.4769999999994</v>
      </c>
      <c r="CH11" s="7">
        <v>115.408</v>
      </c>
      <c r="CI11" s="7">
        <f>'1'!AP17-'1'!AO17</f>
        <v>212.363</v>
      </c>
      <c r="CJ11" s="7">
        <f>'1'!AQ17-'1'!AP17</f>
        <v>58.656000000000006</v>
      </c>
      <c r="CK11" s="7">
        <f>'1'!AR17-'1'!AQ17</f>
        <v>101.87599999999998</v>
      </c>
      <c r="CL11" s="7">
        <f>'1'!AS17-'1'!AR17</f>
        <v>52.841999999999985</v>
      </c>
      <c r="CM11" s="7">
        <f>'1'!AT17-'1'!AS17</f>
        <v>102.15300000000002</v>
      </c>
      <c r="CN11" s="7">
        <f>'1'!AU17-'1'!AT17</f>
        <v>1669.2549999999999</v>
      </c>
      <c r="CO11" s="7">
        <f>'1'!AV17-'1'!AU17</f>
        <v>-1457.5139999999999</v>
      </c>
      <c r="CP11" s="7">
        <f>'1'!AW17-'1'!AV17</f>
        <v>42.139999999999986</v>
      </c>
      <c r="CQ11" s="7">
        <f>'1'!AX17-'1'!AW17</f>
        <v>52.821000000000026</v>
      </c>
      <c r="CR11" s="7">
        <f>'1'!AY17-'1'!AX17</f>
        <v>141.90000000000009</v>
      </c>
      <c r="CS11" s="7">
        <f>'1'!AZ17-'1'!AY17</f>
        <v>-440.00000000000011</v>
      </c>
      <c r="CT11" s="7">
        <v>130.154</v>
      </c>
      <c r="CU11" s="7">
        <f>'1'!BC17-'1'!BB17</f>
        <v>241.36900000000003</v>
      </c>
      <c r="CV11" s="7">
        <f>'1'!BD17-'1'!BC17</f>
        <v>364.505</v>
      </c>
      <c r="CW11" s="7">
        <f>'1'!BE17-'1'!BD17</f>
        <v>-146.48599999999999</v>
      </c>
      <c r="CX11" s="7">
        <f>'1'!BF17-'1'!BE17</f>
        <v>71.813999999999965</v>
      </c>
      <c r="CY11" s="7">
        <f>'1'!BG17-'1'!BF17</f>
        <v>227.95000000000005</v>
      </c>
      <c r="CZ11" s="7">
        <f>'1'!BH17-'1'!BG17</f>
        <v>248.39200000000005</v>
      </c>
      <c r="DA11" s="7">
        <f>'1'!BI17-'1'!BH17</f>
        <v>71.586000000000013</v>
      </c>
      <c r="DB11" s="7">
        <f>'1'!BJ17-'1'!BI17</f>
        <v>-44.913000000000011</v>
      </c>
      <c r="DC11" s="7">
        <f>'1'!BK17-'1'!BJ17</f>
        <v>48.222999999999956</v>
      </c>
      <c r="DD11" s="7">
        <f>'1'!BL17-'1'!BK17</f>
        <v>546.98099999999999</v>
      </c>
      <c r="DE11" s="7">
        <f>'1'!BM17-'1'!BL17</f>
        <v>-151.14300000000003</v>
      </c>
      <c r="DF11" s="7">
        <v>96.79</v>
      </c>
      <c r="DG11" s="115">
        <f>'1'!BP17-'1'!BO17</f>
        <v>81.142999999999986</v>
      </c>
      <c r="DH11" s="115">
        <f>'1'!BQ17-'1'!BP17</f>
        <v>378.04100000000005</v>
      </c>
      <c r="DI11" s="115">
        <f>'1'!BR17-'1'!BQ17</f>
        <v>135.92399999999998</v>
      </c>
      <c r="DJ11" s="115">
        <f>'1'!BS17-'1'!BR17</f>
        <v>92.967999999999961</v>
      </c>
      <c r="DK11" s="115">
        <f>'1'!BT17-'1'!BS17</f>
        <v>140.98400000000004</v>
      </c>
      <c r="DL11" s="115">
        <f>'1'!BU17-'1'!BT17</f>
        <v>134.79699999999991</v>
      </c>
      <c r="DM11" s="115">
        <f>'1'!BV17-'1'!BU17</f>
        <v>125.66200000000003</v>
      </c>
      <c r="DN11" s="115">
        <f>'1'!BW17-'1'!BV17</f>
        <v>415.923</v>
      </c>
      <c r="DO11" s="115">
        <f>'1'!BX17-'1'!BW17</f>
        <v>-28.394000000000005</v>
      </c>
      <c r="DP11" s="115">
        <f>'1'!BY17-'1'!BX17</f>
        <v>540.76100000000019</v>
      </c>
      <c r="DQ11" s="115">
        <f>'1'!BZ17-'1'!BY17</f>
        <v>-46.667000000000371</v>
      </c>
      <c r="DR11" s="115">
        <v>114.06399999999999</v>
      </c>
      <c r="DS11" s="115">
        <f>'1'!CC17-'1'!CB17</f>
        <v>59.195999999999998</v>
      </c>
      <c r="DT11" s="115">
        <f>'1'!CD17-'1'!CC17</f>
        <v>227.97899999999998</v>
      </c>
      <c r="DU11" s="115">
        <f>'1'!CE17-'1'!CD17</f>
        <v>137.28800000000007</v>
      </c>
      <c r="DV11" s="115">
        <f>'1'!CF17-'1'!CE17</f>
        <v>194.56200000000001</v>
      </c>
      <c r="DW11" s="115">
        <f>'1'!CG17-'1'!CF17</f>
        <v>207.34399999999994</v>
      </c>
      <c r="DX11" s="115">
        <f>'1'!CH17-'1'!CG17</f>
        <v>97.730000000000018</v>
      </c>
      <c r="DY11" s="115">
        <f>'1'!CI17-'1'!CH17</f>
        <v>238.49199999999996</v>
      </c>
      <c r="DZ11" s="115">
        <f>'1'!CJ17-'1'!CI17</f>
        <v>104.24299999999994</v>
      </c>
      <c r="EA11" s="115">
        <f>'1'!CK17-'1'!CJ17</f>
        <v>178.29000000000019</v>
      </c>
      <c r="EB11" s="115">
        <f>'1'!CL17-'1'!CK17</f>
        <v>187.3929999999998</v>
      </c>
      <c r="EC11" s="115">
        <f>'1'!CM17-'1'!CL17</f>
        <v>432.06700000000023</v>
      </c>
      <c r="ED11" s="115">
        <f>'1'!CO17</f>
        <v>347.488</v>
      </c>
      <c r="EE11" s="115">
        <f>'1'!CP17-'1'!CO17</f>
        <v>-149.608</v>
      </c>
      <c r="EF11" s="115">
        <f>'1'!CQ17-'1'!CP17</f>
        <v>326.55600000000004</v>
      </c>
      <c r="EG11" s="115">
        <f>'1'!CR17-'1'!CQ17</f>
        <v>111.245</v>
      </c>
      <c r="EH11" s="115">
        <f>'1'!CS17-'1'!CR17</f>
        <v>170.93099999999993</v>
      </c>
      <c r="EI11" s="115">
        <f>'1'!CT17-'1'!CS17</f>
        <v>194.50800000000004</v>
      </c>
      <c r="EJ11" s="115">
        <f>'1'!CU17-'1'!CT17</f>
        <v>76.638000000000034</v>
      </c>
      <c r="EK11" s="115">
        <f>'1'!CV17-'1'!CU17</f>
        <v>556.40300000000002</v>
      </c>
      <c r="EL11" s="115">
        <f>'1'!CW17-'1'!CV17</f>
        <v>89.835000000000036</v>
      </c>
      <c r="EM11" s="115">
        <f>'1'!CX17-'1'!CW17</f>
        <v>396.90200000000004</v>
      </c>
      <c r="EN11" s="115">
        <f>'1'!CY17-'1'!CX17</f>
        <v>177.14599999999973</v>
      </c>
      <c r="EO11" s="115">
        <f>'1'!CZ17-'1'!CY17</f>
        <v>284.53700000000026</v>
      </c>
      <c r="EP11" s="115">
        <f>'1'!DB17</f>
        <v>83.736999999999995</v>
      </c>
      <c r="EQ11" s="115">
        <f>'1'!DC17-'1'!DB17</f>
        <v>145.89099999999999</v>
      </c>
      <c r="ER11" s="115">
        <f>'1'!DD17-'1'!DC17</f>
        <v>135.52300000000002</v>
      </c>
      <c r="ES11" s="115">
        <f>'1'!DE17-'1'!DD17</f>
        <v>67.265999999999963</v>
      </c>
      <c r="ET11" s="115">
        <f>'1'!DF17-'1'!DE17</f>
        <v>251.61399999999998</v>
      </c>
      <c r="EU11" s="115">
        <f>'1'!DG17-'1'!DF17</f>
        <v>-13.890999999999963</v>
      </c>
      <c r="EV11" s="115">
        <f>'1'!DH17-'1'!DG17</f>
        <v>175.07299999999998</v>
      </c>
      <c r="EW11" s="218"/>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row>
    <row r="12" spans="1:185" s="50" customFormat="1" ht="15" customHeight="1">
      <c r="A12" s="16" t="s">
        <v>7</v>
      </c>
      <c r="B12" s="17">
        <v>577836.9439999999</v>
      </c>
      <c r="C12" s="17">
        <v>723812.07704999996</v>
      </c>
      <c r="D12" s="17">
        <v>677339.43549999991</v>
      </c>
      <c r="E12" s="17">
        <v>767137.34337000002</v>
      </c>
      <c r="F12" s="17">
        <v>607068.42336000025</v>
      </c>
      <c r="G12" s="17">
        <v>734438.36071000004</v>
      </c>
      <c r="H12" s="17">
        <v>728269.98960000009</v>
      </c>
      <c r="I12" s="17">
        <v>658279.97284000006</v>
      </c>
      <c r="J12" s="17">
        <v>661873.13438000006</v>
      </c>
      <c r="K12" s="17">
        <v>773073.10418999987</v>
      </c>
      <c r="L12" s="17">
        <v>805747.87910999975</v>
      </c>
      <c r="M12" s="17">
        <v>1220028.6642499999</v>
      </c>
      <c r="N12" s="17">
        <v>650818.89826000005</v>
      </c>
      <c r="O12" s="17">
        <v>752138.77189999982</v>
      </c>
      <c r="P12" s="17">
        <v>759569.95786999993</v>
      </c>
      <c r="Q12" s="17">
        <v>756883.57296999998</v>
      </c>
      <c r="R12" s="17">
        <v>635653.29827000003</v>
      </c>
      <c r="S12" s="17">
        <v>813579.60300999973</v>
      </c>
      <c r="T12" s="17">
        <v>763487.34739000001</v>
      </c>
      <c r="U12" s="17">
        <v>691671.56074999995</v>
      </c>
      <c r="V12" s="17">
        <v>694784.1680699999</v>
      </c>
      <c r="W12" s="17">
        <v>708770.71761000005</v>
      </c>
      <c r="X12" s="17">
        <v>764228.81597</v>
      </c>
      <c r="Y12" s="17">
        <v>1203235.4501799999</v>
      </c>
      <c r="Z12" s="18">
        <v>621173.5348100001</v>
      </c>
      <c r="AA12" s="18">
        <v>770714.24177000008</v>
      </c>
      <c r="AB12" s="18">
        <v>774254.20016000001</v>
      </c>
      <c r="AC12" s="18">
        <v>780833.40768999991</v>
      </c>
      <c r="AD12" s="18">
        <v>685020.84947999998</v>
      </c>
      <c r="AE12" s="18">
        <v>736989.15666999982</v>
      </c>
      <c r="AF12" s="18">
        <v>721103.57158999995</v>
      </c>
      <c r="AG12" s="18">
        <v>696282.67081000016</v>
      </c>
      <c r="AH12" s="5">
        <v>667855.38231999986</v>
      </c>
      <c r="AI12" s="5">
        <v>810601.33253999986</v>
      </c>
      <c r="AJ12" s="5">
        <v>821356.04101000016</v>
      </c>
      <c r="AK12" s="5">
        <v>1085417.4720399999</v>
      </c>
      <c r="AL12" s="5">
        <v>674866.34849000024</v>
      </c>
      <c r="AM12" s="5">
        <v>777083.92204999994</v>
      </c>
      <c r="AN12" s="5">
        <v>744505.4698699998</v>
      </c>
      <c r="AO12" s="5">
        <v>766418.61738000007</v>
      </c>
      <c r="AP12" s="5">
        <v>750493.28142999997</v>
      </c>
      <c r="AQ12" s="5">
        <v>877944.63214</v>
      </c>
      <c r="AR12" s="5">
        <v>730987.21389999997</v>
      </c>
      <c r="AS12" s="5">
        <v>737939.87306000001</v>
      </c>
      <c r="AT12" s="5">
        <v>731109.11313999991</v>
      </c>
      <c r="AU12" s="5">
        <v>913335.15833999985</v>
      </c>
      <c r="AV12" s="5">
        <v>902242.66695999994</v>
      </c>
      <c r="AW12" s="5">
        <v>1239234.66591</v>
      </c>
      <c r="AX12" s="5">
        <v>706952.70924999902</v>
      </c>
      <c r="AY12" s="5">
        <v>787489.59335000103</v>
      </c>
      <c r="AZ12" s="5">
        <v>812051.28861000005</v>
      </c>
      <c r="BA12" s="5">
        <v>916497.78971000004</v>
      </c>
      <c r="BB12" s="5">
        <v>788454.54403999995</v>
      </c>
      <c r="BC12" s="5">
        <v>921673.71600000013</v>
      </c>
      <c r="BD12" s="5">
        <v>886929.46672000096</v>
      </c>
      <c r="BE12" s="5">
        <v>855638.43050000002</v>
      </c>
      <c r="BF12" s="5">
        <v>816448.42926</v>
      </c>
      <c r="BG12" s="5">
        <v>1068118.00942</v>
      </c>
      <c r="BH12" s="5">
        <v>1047472.18788</v>
      </c>
      <c r="BI12" s="5">
        <v>1490302.1192599963</v>
      </c>
      <c r="BJ12" s="5">
        <f>BJ13+BJ14+BJ15+BJ16+BJ17+BJ18+BJ19</f>
        <v>802049.35100000002</v>
      </c>
      <c r="BK12" s="5">
        <f>BK13+BK14+BK15+BK16+BK17+BK18+BK19</f>
        <v>897615.19700000016</v>
      </c>
      <c r="BL12" s="5">
        <f>BL13+BL14+BL15+BL16+BL17+BL18+BL19</f>
        <v>816941.69700000004</v>
      </c>
      <c r="BM12" s="5">
        <f>BM13+BM14+BM15+BM16+BM17+BM18+BM19</f>
        <v>928600.15899999999</v>
      </c>
      <c r="BN12" s="5">
        <f>'1'!S18-'1'!R18</f>
        <v>867472.72900000075</v>
      </c>
      <c r="BO12" s="5">
        <f>'1'!T18-'1'!S18</f>
        <v>915068.86699999962</v>
      </c>
      <c r="BP12" s="5">
        <f>'1'!U18-'1'!T18</f>
        <v>972332.68099999987</v>
      </c>
      <c r="BQ12" s="5">
        <f>'1'!V18-'1'!U18</f>
        <v>854934.40299999993</v>
      </c>
      <c r="BR12" s="5">
        <f>'1'!W18-'1'!V18</f>
        <v>864576.59400000051</v>
      </c>
      <c r="BS12" s="5">
        <f>'1'!X18-'1'!W18</f>
        <v>1078898.5389999999</v>
      </c>
      <c r="BT12" s="5">
        <f>'1'!Y18-'1'!X18</f>
        <v>994988.20500000194</v>
      </c>
      <c r="BU12" s="5">
        <f>'1'!Z18-'1'!Y18</f>
        <v>1538492.901999997</v>
      </c>
      <c r="BV12" s="5">
        <v>878360.09499999997</v>
      </c>
      <c r="BW12" s="5">
        <f>'1'!AC18-'1'!AB18</f>
        <v>900276.14000000013</v>
      </c>
      <c r="BX12" s="5">
        <f>'1'!AD18-'1'!AC18</f>
        <v>935266.91500000027</v>
      </c>
      <c r="BY12" s="5">
        <f>'1'!AE18-'1'!AD18</f>
        <v>1090965.9259999995</v>
      </c>
      <c r="BZ12" s="5">
        <f>'1'!AF18-'1'!AE18</f>
        <v>845625.07200000016</v>
      </c>
      <c r="CA12" s="5">
        <f>'1'!AG18-'1'!AF18</f>
        <v>1007637.852</v>
      </c>
      <c r="CB12" s="5">
        <f>'1'!AH18-'1'!AG18</f>
        <v>999723.10000000056</v>
      </c>
      <c r="CC12" s="5">
        <f>'1'!AI18-'1'!AH18</f>
        <v>951921.2209999999</v>
      </c>
      <c r="CD12" s="5">
        <f>'1'!AJ18-'1'!AI18</f>
        <v>978775.8200000003</v>
      </c>
      <c r="CE12" s="5">
        <f>'1'!AK18-'1'!AJ18</f>
        <v>1146014.8969999999</v>
      </c>
      <c r="CF12" s="5">
        <f>'1'!AL18-'1'!AK18</f>
        <v>1028398.8399999999</v>
      </c>
      <c r="CG12" s="5">
        <f>'1'!AM18-'1'!AL18</f>
        <v>1706433.8949999977</v>
      </c>
      <c r="CH12" s="5">
        <v>855571.82099999988</v>
      </c>
      <c r="CI12" s="5">
        <f>'1'!AP18-'1'!AO18</f>
        <v>1120070.8500000001</v>
      </c>
      <c r="CJ12" s="5">
        <f>'1'!AQ18-'1'!AP18</f>
        <v>1355758.12</v>
      </c>
      <c r="CK12" s="5">
        <f>'1'!AR18-'1'!AQ18</f>
        <v>1273663.1469999999</v>
      </c>
      <c r="CL12" s="5">
        <f>'1'!AS18-'1'!AR18</f>
        <v>1060453.2860000003</v>
      </c>
      <c r="CM12" s="5">
        <f>'1'!AT18-'1'!AS18</f>
        <v>1299852.0649999995</v>
      </c>
      <c r="CN12" s="5">
        <f>'1'!AU18-'1'!AT18</f>
        <v>1081981.2960000001</v>
      </c>
      <c r="CO12" s="5">
        <f>'1'!AV18-'1'!AU18</f>
        <v>1017502.0930000013</v>
      </c>
      <c r="CP12" s="5">
        <f>'1'!AW18-'1'!AV18</f>
        <v>1064391.0189999994</v>
      </c>
      <c r="CQ12" s="5">
        <f>'1'!AX18-'1'!AW18</f>
        <v>1173896.6260000002</v>
      </c>
      <c r="CR12" s="5">
        <f>'1'!AY18-'1'!AX18</f>
        <v>1182055.5539999995</v>
      </c>
      <c r="CS12" s="5">
        <f>'1'!AZ18-'1'!AY18</f>
        <v>1915376.8489999995</v>
      </c>
      <c r="CT12" s="5">
        <v>1011780.956</v>
      </c>
      <c r="CU12" s="5">
        <f>'1'!BC18-'1'!BB18</f>
        <v>1174583.8570000001</v>
      </c>
      <c r="CV12" s="5">
        <f>'1'!BD18-'1'!BC18</f>
        <v>1242068.5329999998</v>
      </c>
      <c r="CW12" s="5">
        <f>'1'!BE18-'1'!BD18</f>
        <v>1187341.4570000004</v>
      </c>
      <c r="CX12" s="5">
        <f>'1'!BF18-'1'!BE18</f>
        <v>1224137.3229999989</v>
      </c>
      <c r="CY12" s="5">
        <f>'1'!BG18-'1'!BF18</f>
        <v>1172050.5749999993</v>
      </c>
      <c r="CZ12" s="5">
        <f>'1'!BH18-'1'!BG18</f>
        <v>1088648.6020000027</v>
      </c>
      <c r="DA12" s="5">
        <f>'1'!BI18-'1'!BH18</f>
        <v>1104689.4229999986</v>
      </c>
      <c r="DB12" s="5">
        <f>'1'!BJ18-'1'!BI18</f>
        <v>1413387.2039999999</v>
      </c>
      <c r="DC12" s="5">
        <f>'1'!BK18-'1'!BJ18</f>
        <v>1543583.0730000008</v>
      </c>
      <c r="DD12" s="5">
        <f>'1'!BL18-'1'!BK18</f>
        <v>1331354.7149999999</v>
      </c>
      <c r="DE12" s="5">
        <f>'1'!BM18-'1'!BL18</f>
        <v>2230910.6029999983</v>
      </c>
      <c r="DF12" s="5">
        <v>1084456.317</v>
      </c>
      <c r="DG12" s="114">
        <f>'1'!BP18-'1'!BO18</f>
        <v>1410804.2549999997</v>
      </c>
      <c r="DH12" s="114">
        <f>'1'!BQ18-'1'!BP18</f>
        <v>1353313.6140000005</v>
      </c>
      <c r="DI12" s="114">
        <f>'1'!BR18-'1'!BQ18</f>
        <v>1300627.878</v>
      </c>
      <c r="DJ12" s="114">
        <f>'1'!BS18-'1'!BR18</f>
        <v>1285511.2979999995</v>
      </c>
      <c r="DK12" s="114">
        <f>'1'!BT18-'1'!BS18</f>
        <v>1387062.6690000007</v>
      </c>
      <c r="DL12" s="114">
        <f>'1'!BU18-'1'!BT18</f>
        <v>1233758.4669999992</v>
      </c>
      <c r="DM12" s="114">
        <f>'1'!BV18-'1'!BU18</f>
        <v>1277311.9980000015</v>
      </c>
      <c r="DN12" s="114">
        <f>'1'!BW18-'1'!BV18</f>
        <v>1228203.9879999962</v>
      </c>
      <c r="DO12" s="114">
        <f>'1'!BX18-'1'!BW18</f>
        <v>1416444.3940000031</v>
      </c>
      <c r="DP12" s="114">
        <f>'1'!BY18-'1'!BX18</f>
        <v>1471104.6449999996</v>
      </c>
      <c r="DQ12" s="114">
        <f>'1'!BZ18-'1'!BY18</f>
        <v>2516060.8440000024</v>
      </c>
      <c r="DR12" s="114">
        <v>1303627.6510000001</v>
      </c>
      <c r="DS12" s="114">
        <f>'1'!CC18-'1'!CB18</f>
        <v>1427917.6090000002</v>
      </c>
      <c r="DT12" s="114">
        <f>'1'!CD18-'1'!CC18</f>
        <v>1322792.966</v>
      </c>
      <c r="DU12" s="114">
        <f>'1'!CE18-'1'!CD18</f>
        <v>1553303.541999999</v>
      </c>
      <c r="DV12" s="114">
        <f>'1'!CF18-'1'!CE18</f>
        <v>1362544.1009999998</v>
      </c>
      <c r="DW12" s="114">
        <f>'1'!CG18-'1'!CF18</f>
        <v>1438872.2280000001</v>
      </c>
      <c r="DX12" s="114">
        <f>'1'!CH18-'1'!CG18</f>
        <v>1492723.1660000011</v>
      </c>
      <c r="DY12" s="114">
        <f>'1'!CI18-'1'!CH18</f>
        <v>1314621.5870000012</v>
      </c>
      <c r="DZ12" s="114">
        <f>'1'!CJ18-'1'!CI18</f>
        <v>1304550.4690000005</v>
      </c>
      <c r="EA12" s="114">
        <f>'1'!CK18-'1'!CJ18</f>
        <v>1578167.1949999984</v>
      </c>
      <c r="EB12" s="114">
        <f>'1'!CL18-'1'!CK18</f>
        <v>1506903.9630000014</v>
      </c>
      <c r="EC12" s="114">
        <f>'1'!CM18-'1'!CL18</f>
        <v>2272808.0069999993</v>
      </c>
      <c r="ED12" s="114">
        <f>'1'!CO18</f>
        <v>1413198.9710000001</v>
      </c>
      <c r="EE12" s="114">
        <f>'1'!CP18-'1'!CO18</f>
        <v>1547341.149</v>
      </c>
      <c r="EF12" s="114">
        <f>'1'!CQ18-'1'!CP18</f>
        <v>1614308.0899999999</v>
      </c>
      <c r="EG12" s="114">
        <f>'1'!CR18-'1'!CQ18</f>
        <v>1653208.0950000007</v>
      </c>
      <c r="EH12" s="114">
        <f>'1'!CS18-'1'!CR18</f>
        <v>1414765.2749999994</v>
      </c>
      <c r="EI12" s="114">
        <f>'1'!CT18-'1'!CS18</f>
        <v>1540929.8840000015</v>
      </c>
      <c r="EJ12" s="114">
        <f>'1'!CU18-'1'!CT18</f>
        <v>1590302.9049999975</v>
      </c>
      <c r="EK12" s="114">
        <f>'1'!CV18-'1'!CU18</f>
        <v>1447542.7019999996</v>
      </c>
      <c r="EL12" s="114">
        <f>'1'!CW18-'1'!CV18</f>
        <v>1539352.0540000014</v>
      </c>
      <c r="EM12" s="114">
        <f>'1'!CX18-'1'!CW18</f>
        <v>1659907.5130000003</v>
      </c>
      <c r="EN12" s="114">
        <f>'1'!CY18-'1'!CX18</f>
        <v>1557197.1920000017</v>
      </c>
      <c r="EO12" s="114">
        <f>'1'!CZ18-'1'!CY18</f>
        <v>2540369.5939999968</v>
      </c>
      <c r="EP12" s="114">
        <f>'1'!DB18</f>
        <v>1523437.9620000003</v>
      </c>
      <c r="EQ12" s="114">
        <f>'1'!DC18-'1'!DB18</f>
        <v>1594854.3189999997</v>
      </c>
      <c r="ER12" s="114">
        <f>'1'!DD18-'1'!DC18</f>
        <v>1660726.6760000004</v>
      </c>
      <c r="ES12" s="114">
        <f>'1'!DE18-'1'!DD18</f>
        <v>1573542.4799999995</v>
      </c>
      <c r="ET12" s="114">
        <f>'1'!DF18-'1'!DE18</f>
        <v>1553232.9539999999</v>
      </c>
      <c r="EU12" s="114">
        <f>'1'!DG18-'1'!DF18</f>
        <v>1690277.0540000023</v>
      </c>
      <c r="EV12" s="114">
        <f>'1'!DH18-'1'!DG18</f>
        <v>1774974.8149999976</v>
      </c>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row>
    <row r="13" spans="1:185" s="50" customFormat="1" ht="15" customHeight="1">
      <c r="A13" s="19" t="s">
        <v>8</v>
      </c>
      <c r="B13" s="20">
        <v>90354.750999999989</v>
      </c>
      <c r="C13" s="20">
        <v>148367.80977000002</v>
      </c>
      <c r="D13" s="20">
        <v>146079.41175000003</v>
      </c>
      <c r="E13" s="20">
        <v>165018.93581</v>
      </c>
      <c r="F13" s="20">
        <v>148066.17459000001</v>
      </c>
      <c r="G13" s="20">
        <v>204690.05601999999</v>
      </c>
      <c r="H13" s="20">
        <v>162934.88116999998</v>
      </c>
      <c r="I13" s="20">
        <v>124481.80457000001</v>
      </c>
      <c r="J13" s="20">
        <v>132686.67681000006</v>
      </c>
      <c r="K13" s="20">
        <v>158420.2087499999</v>
      </c>
      <c r="L13" s="20">
        <v>160361.60991999999</v>
      </c>
      <c r="M13" s="20">
        <v>217397.40794999999</v>
      </c>
      <c r="N13" s="20">
        <v>108747.91278000001</v>
      </c>
      <c r="O13" s="20">
        <v>157896.93541000009</v>
      </c>
      <c r="P13" s="20">
        <v>161018.89505999995</v>
      </c>
      <c r="Q13" s="20">
        <v>171799.31005999999</v>
      </c>
      <c r="R13" s="20">
        <v>158227.97377000007</v>
      </c>
      <c r="S13" s="20">
        <v>220780.62826999993</v>
      </c>
      <c r="T13" s="20">
        <v>180091.71251000001</v>
      </c>
      <c r="U13" s="20">
        <v>134022.25917999999</v>
      </c>
      <c r="V13" s="20">
        <v>140058.06995999999</v>
      </c>
      <c r="W13" s="20">
        <v>162045.00359999997</v>
      </c>
      <c r="X13" s="20">
        <v>164268.43539999993</v>
      </c>
      <c r="Y13" s="20">
        <v>228398.66995000001</v>
      </c>
      <c r="Z13" s="21">
        <v>108498.84703000008</v>
      </c>
      <c r="AA13" s="21">
        <v>161509.74904000002</v>
      </c>
      <c r="AB13" s="21">
        <v>167944.15363000002</v>
      </c>
      <c r="AC13" s="21">
        <v>171705.71576000002</v>
      </c>
      <c r="AD13" s="21">
        <v>172185.33644000004</v>
      </c>
      <c r="AE13" s="21">
        <v>227031.01910000006</v>
      </c>
      <c r="AF13" s="21">
        <v>183363.39111000003</v>
      </c>
      <c r="AG13" s="21">
        <v>137402.41907999996</v>
      </c>
      <c r="AH13" s="7">
        <v>145798.12353999983</v>
      </c>
      <c r="AI13" s="7">
        <v>169772.49532000002</v>
      </c>
      <c r="AJ13" s="7">
        <v>180083.13235000003</v>
      </c>
      <c r="AK13" s="7">
        <v>270544.65248999989</v>
      </c>
      <c r="AL13" s="7">
        <v>112963.96241000002</v>
      </c>
      <c r="AM13" s="7">
        <v>175007.56321000008</v>
      </c>
      <c r="AN13" s="7">
        <v>186990.0379899999</v>
      </c>
      <c r="AO13" s="7">
        <v>187530.64288999996</v>
      </c>
      <c r="AP13" s="7">
        <v>188097.92962000001</v>
      </c>
      <c r="AQ13" s="7">
        <v>257473.43033000003</v>
      </c>
      <c r="AR13" s="7">
        <v>193742.82722999994</v>
      </c>
      <c r="AS13" s="7">
        <v>154580.63434000002</v>
      </c>
      <c r="AT13" s="7">
        <v>161755.19073999999</v>
      </c>
      <c r="AU13" s="7">
        <v>182610.59005000003</v>
      </c>
      <c r="AV13" s="7">
        <v>199967.11262999999</v>
      </c>
      <c r="AW13" s="7">
        <v>287699.03287</v>
      </c>
      <c r="AX13" s="7">
        <v>115384.25697</v>
      </c>
      <c r="AY13" s="7">
        <v>189625.66868999999</v>
      </c>
      <c r="AZ13" s="7">
        <v>199507.52278</v>
      </c>
      <c r="BA13" s="7">
        <v>196998.10868999999</v>
      </c>
      <c r="BB13" s="7">
        <v>203290.63831000001</v>
      </c>
      <c r="BC13" s="7">
        <v>274740.45600000001</v>
      </c>
      <c r="BD13" s="7">
        <v>209737.6404</v>
      </c>
      <c r="BE13" s="7">
        <v>172144.85552000001</v>
      </c>
      <c r="BF13" s="7">
        <v>167258.79660999999</v>
      </c>
      <c r="BG13" s="7">
        <v>201706.62682999999</v>
      </c>
      <c r="BH13" s="7">
        <v>224741.25146</v>
      </c>
      <c r="BI13" s="7">
        <v>296950.98174000019</v>
      </c>
      <c r="BJ13" s="7">
        <v>149668.239</v>
      </c>
      <c r="BK13" s="7">
        <v>206837.19199999998</v>
      </c>
      <c r="BL13" s="7">
        <v>204462.84100000001</v>
      </c>
      <c r="BM13" s="7">
        <v>211031.505</v>
      </c>
      <c r="BN13" s="7">
        <f>'1'!S19-'1'!R19</f>
        <v>220333.38100000005</v>
      </c>
      <c r="BO13" s="7">
        <f>'1'!T19-'1'!S19</f>
        <v>277548.84199999995</v>
      </c>
      <c r="BP13" s="7">
        <f>'1'!U19-'1'!T19</f>
        <v>225855.69500000007</v>
      </c>
      <c r="BQ13" s="7">
        <f>'1'!V19-'1'!U19</f>
        <v>179989.85199999996</v>
      </c>
      <c r="BR13" s="7">
        <f>'1'!W19-'1'!V19</f>
        <v>179259.90500000003</v>
      </c>
      <c r="BS13" s="7">
        <f>'1'!X19-'1'!W19</f>
        <v>210460.92799999984</v>
      </c>
      <c r="BT13" s="7">
        <f>'1'!Y19-'1'!X19</f>
        <v>232563.44700000016</v>
      </c>
      <c r="BU13" s="7">
        <f>'1'!Z19-'1'!Y19</f>
        <v>313875.23199999984</v>
      </c>
      <c r="BV13" s="7">
        <v>140793.06899999999</v>
      </c>
      <c r="BW13" s="7">
        <f>'1'!AC19-'1'!AB19</f>
        <v>210280.03</v>
      </c>
      <c r="BX13" s="7">
        <f>'1'!AD19-'1'!AC19</f>
        <v>218342.64900000003</v>
      </c>
      <c r="BY13" s="7">
        <f>'1'!AE19-'1'!AD19</f>
        <v>233035.91399999999</v>
      </c>
      <c r="BZ13" s="7">
        <f>'1'!AF19-'1'!AE19</f>
        <v>212173.90899999999</v>
      </c>
      <c r="CA13" s="7">
        <f>'1'!AG19-'1'!AF19</f>
        <v>281877.429</v>
      </c>
      <c r="CB13" s="7">
        <f>'1'!AH19-'1'!AG19</f>
        <v>235939.57499999995</v>
      </c>
      <c r="CC13" s="7">
        <f>'1'!AI19-'1'!AH19</f>
        <v>187033.79600000009</v>
      </c>
      <c r="CD13" s="7">
        <f>'1'!AJ19-'1'!AI19</f>
        <v>197392.47799999989</v>
      </c>
      <c r="CE13" s="7">
        <f>'1'!AK19-'1'!AJ19</f>
        <v>219537.1950000003</v>
      </c>
      <c r="CF13" s="7">
        <f>'1'!AL19-'1'!AK19</f>
        <v>236017.42799999984</v>
      </c>
      <c r="CG13" s="7">
        <f>'1'!AM19-'1'!AL19</f>
        <v>339639.01399999997</v>
      </c>
      <c r="CH13" s="7">
        <v>140431.39600000001</v>
      </c>
      <c r="CI13" s="7">
        <f>'1'!AP19-'1'!AO19</f>
        <v>226710.96799999999</v>
      </c>
      <c r="CJ13" s="7">
        <f>'1'!AQ19-'1'!AP19</f>
        <v>240904.16900000005</v>
      </c>
      <c r="CK13" s="7">
        <f>'1'!AR19-'1'!AQ19</f>
        <v>249138.33099999989</v>
      </c>
      <c r="CL13" s="7">
        <f>'1'!AS19-'1'!AR19</f>
        <v>237328.24600000016</v>
      </c>
      <c r="CM13" s="7">
        <f>'1'!AT19-'1'!AS19</f>
        <v>337020.277</v>
      </c>
      <c r="CN13" s="7">
        <f>'1'!AU19-'1'!AT19</f>
        <v>235841.09099999978</v>
      </c>
      <c r="CO13" s="7">
        <f>'1'!AV19-'1'!AU19</f>
        <v>202391.55300000007</v>
      </c>
      <c r="CP13" s="7">
        <f>'1'!AW19-'1'!AV19</f>
        <v>211391.83400000003</v>
      </c>
      <c r="CQ13" s="7">
        <f>'1'!AX19-'1'!AW19</f>
        <v>233040.90900000022</v>
      </c>
      <c r="CR13" s="7">
        <f>'1'!AY19-'1'!AX19</f>
        <v>251924.49899999984</v>
      </c>
      <c r="CS13" s="7">
        <f>'1'!AZ19-'1'!AY19</f>
        <v>373516.9580000001</v>
      </c>
      <c r="CT13" s="7">
        <v>148501.04300000001</v>
      </c>
      <c r="CU13" s="7">
        <f>'1'!BC19-'1'!BB19</f>
        <v>229955.40899999999</v>
      </c>
      <c r="CV13" s="7">
        <f>'1'!BD19-'1'!BC19</f>
        <v>234722.22099999996</v>
      </c>
      <c r="CW13" s="7">
        <f>'1'!BE19-'1'!BD19</f>
        <v>251001.06000000006</v>
      </c>
      <c r="CX13" s="7">
        <f>'1'!BF19-'1'!BE19</f>
        <v>262239.60899999994</v>
      </c>
      <c r="CY13" s="7">
        <f>'1'!BG19-'1'!BF19</f>
        <v>329956.05000000005</v>
      </c>
      <c r="CZ13" s="7">
        <f>'1'!BH19-'1'!BG19</f>
        <v>270339.53000000003</v>
      </c>
      <c r="DA13" s="7">
        <f>'1'!BI19-'1'!BH19</f>
        <v>214343.59499999997</v>
      </c>
      <c r="DB13" s="7">
        <f>'1'!BJ19-'1'!BI19</f>
        <v>230656.54900000012</v>
      </c>
      <c r="DC13" s="7">
        <f>'1'!BK19-'1'!BJ19</f>
        <v>254962.53299999982</v>
      </c>
      <c r="DD13" s="7">
        <f>'1'!BL19-'1'!BK19</f>
        <v>274171.86599999992</v>
      </c>
      <c r="DE13" s="7">
        <f>'1'!BM19-'1'!BL19</f>
        <v>419321.52400000021</v>
      </c>
      <c r="DF13" s="7">
        <v>162519.83900000001</v>
      </c>
      <c r="DG13" s="115">
        <f>'1'!BP19-'1'!BO19</f>
        <v>268167.88399999996</v>
      </c>
      <c r="DH13" s="115">
        <f>'1'!BQ19-'1'!BP19</f>
        <v>280874.82999999996</v>
      </c>
      <c r="DI13" s="115">
        <f>'1'!BR19-'1'!BQ19</f>
        <v>280440.52600000007</v>
      </c>
      <c r="DJ13" s="115">
        <f>'1'!BS19-'1'!BR19</f>
        <v>290130.30200000003</v>
      </c>
      <c r="DK13" s="115">
        <f>'1'!BT19-'1'!BS19</f>
        <v>393562.53499999992</v>
      </c>
      <c r="DL13" s="115">
        <f>'1'!BU19-'1'!BT19</f>
        <v>301259.39899999998</v>
      </c>
      <c r="DM13" s="115">
        <f>'1'!BV19-'1'!BU19</f>
        <v>257755.70200000005</v>
      </c>
      <c r="DN13" s="115">
        <f>'1'!BW19-'1'!BV19</f>
        <v>265406.22500000009</v>
      </c>
      <c r="DO13" s="115">
        <f>'1'!BX19-'1'!BW19</f>
        <v>301408.95200000005</v>
      </c>
      <c r="DP13" s="115">
        <f>'1'!BY19-'1'!BX19</f>
        <v>321440.65899999999</v>
      </c>
      <c r="DQ13" s="115">
        <f>'1'!BZ19-'1'!BY19</f>
        <v>478462.86100000003</v>
      </c>
      <c r="DR13" s="115">
        <v>223838.76</v>
      </c>
      <c r="DS13" s="115">
        <f>'1'!CC19-'1'!CB19</f>
        <v>323655.63</v>
      </c>
      <c r="DT13" s="115">
        <f>'1'!CD19-'1'!CC19</f>
        <v>326712.97699999996</v>
      </c>
      <c r="DU13" s="115">
        <f>'1'!CE19-'1'!CD19</f>
        <v>325691.16600000008</v>
      </c>
      <c r="DV13" s="115">
        <f>'1'!CF19-'1'!CE19</f>
        <v>348178.33400000003</v>
      </c>
      <c r="DW13" s="115">
        <f>'1'!CG19-'1'!CF19</f>
        <v>426185.62699999986</v>
      </c>
      <c r="DX13" s="115">
        <f>'1'!CH19-'1'!CG19</f>
        <v>354724.17500000028</v>
      </c>
      <c r="DY13" s="115">
        <f>'1'!CI19-'1'!CH19</f>
        <v>293324.55599999987</v>
      </c>
      <c r="DZ13" s="115">
        <f>'1'!CJ19-'1'!CI19</f>
        <v>285460.77</v>
      </c>
      <c r="EA13" s="115">
        <f>'1'!CK19-'1'!CJ19</f>
        <v>332082.15999999968</v>
      </c>
      <c r="EB13" s="115">
        <f>'1'!CL19-'1'!CK19</f>
        <v>350875.09300000034</v>
      </c>
      <c r="EC13" s="115">
        <f>'1'!CM19-'1'!CL19</f>
        <v>493138.72599999979</v>
      </c>
      <c r="ED13" s="115">
        <f>'1'!CO19</f>
        <v>227203</v>
      </c>
      <c r="EE13" s="115">
        <f>'1'!CP19-'1'!CO19</f>
        <v>338190.06299999997</v>
      </c>
      <c r="EF13" s="115">
        <f>'1'!CQ19-'1'!CP19</f>
        <v>337732.41100000008</v>
      </c>
      <c r="EG13" s="115">
        <f>'1'!CR19-'1'!CQ19</f>
        <v>382157.49400000006</v>
      </c>
      <c r="EH13" s="115">
        <f>'1'!CS19-'1'!CR19</f>
        <v>345727.85399999982</v>
      </c>
      <c r="EI13" s="115">
        <f>'1'!CT19-'1'!CS19</f>
        <v>445687.23200000008</v>
      </c>
      <c r="EJ13" s="115">
        <f>'1'!CU19-'1'!CT19</f>
        <v>388153.65199999977</v>
      </c>
      <c r="EK13" s="115">
        <f>'1'!CV19-'1'!CU19</f>
        <v>319729.79500000039</v>
      </c>
      <c r="EL13" s="115">
        <f>'1'!CW19-'1'!CV19</f>
        <v>309237.16299999971</v>
      </c>
      <c r="EM13" s="115">
        <f>'1'!CX19-'1'!CW19</f>
        <v>363546.8330000001</v>
      </c>
      <c r="EN13" s="115">
        <f>'1'!CY19-'1'!CX19</f>
        <v>358552.77799999993</v>
      </c>
      <c r="EO13" s="115">
        <f>'1'!CZ19-'1'!CY19</f>
        <v>530346.19499999983</v>
      </c>
      <c r="EP13" s="115">
        <f>'1'!DB19</f>
        <v>233264.603</v>
      </c>
      <c r="EQ13" s="115">
        <f>'1'!DC19-'1'!DB19</f>
        <v>347519.951</v>
      </c>
      <c r="ER13" s="115">
        <f>'1'!DD19-'1'!DC19</f>
        <v>352624.99300000002</v>
      </c>
      <c r="ES13" s="115">
        <f>'1'!DE19-'1'!DD19</f>
        <v>379365.5689999999</v>
      </c>
      <c r="ET13" s="115">
        <f>'1'!DF19-'1'!DE19</f>
        <v>367403.99600000004</v>
      </c>
      <c r="EU13" s="115">
        <f>'1'!DG19-'1'!DF19</f>
        <v>461050.71600000025</v>
      </c>
      <c r="EV13" s="115">
        <f>'1'!DH19-'1'!DG19</f>
        <v>402597.28899999987</v>
      </c>
      <c r="EW13" s="218"/>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row>
    <row r="14" spans="1:185" s="50" customFormat="1" ht="15" customHeight="1">
      <c r="A14" s="19" t="s">
        <v>9</v>
      </c>
      <c r="B14" s="20">
        <v>77746.561999999991</v>
      </c>
      <c r="C14" s="20">
        <v>87426.433610000007</v>
      </c>
      <c r="D14" s="20">
        <v>85893.647370000006</v>
      </c>
      <c r="E14" s="20">
        <v>88833.061580000009</v>
      </c>
      <c r="F14" s="20">
        <v>86936.045689999999</v>
      </c>
      <c r="G14" s="20">
        <v>94896.659620000006</v>
      </c>
      <c r="H14" s="20">
        <v>89426.949490000014</v>
      </c>
      <c r="I14" s="20">
        <v>81547.036059999999</v>
      </c>
      <c r="J14" s="20">
        <v>86173.031099999964</v>
      </c>
      <c r="K14" s="20">
        <v>97886.38096999994</v>
      </c>
      <c r="L14" s="20">
        <v>98965.842139999862</v>
      </c>
      <c r="M14" s="20">
        <v>158269.59256000016</v>
      </c>
      <c r="N14" s="20">
        <v>83968.434579999972</v>
      </c>
      <c r="O14" s="20">
        <v>94590.239009999961</v>
      </c>
      <c r="P14" s="20">
        <v>96451.617880000078</v>
      </c>
      <c r="Q14" s="20">
        <v>91574.146579999942</v>
      </c>
      <c r="R14" s="20">
        <v>89608.199070000046</v>
      </c>
      <c r="S14" s="20">
        <v>105297.46160999982</v>
      </c>
      <c r="T14" s="20">
        <v>92686.076499999996</v>
      </c>
      <c r="U14" s="20">
        <v>82769.333769999925</v>
      </c>
      <c r="V14" s="20">
        <v>90202.226549999934</v>
      </c>
      <c r="W14" s="20">
        <v>91248.794040000052</v>
      </c>
      <c r="X14" s="20">
        <v>94981.247249999971</v>
      </c>
      <c r="Y14" s="20">
        <v>171189.98731999981</v>
      </c>
      <c r="Z14" s="21">
        <v>78254.434750000088</v>
      </c>
      <c r="AA14" s="21">
        <v>94362.248010000068</v>
      </c>
      <c r="AB14" s="21">
        <v>99971.568470000027</v>
      </c>
      <c r="AC14" s="21">
        <v>91757.327879999997</v>
      </c>
      <c r="AD14" s="21">
        <v>90325.30449000001</v>
      </c>
      <c r="AE14" s="21">
        <v>94846.156189999936</v>
      </c>
      <c r="AF14" s="21">
        <v>90451.322400000048</v>
      </c>
      <c r="AG14" s="21">
        <v>88261.862469999964</v>
      </c>
      <c r="AH14" s="7">
        <v>89741.254520000133</v>
      </c>
      <c r="AI14" s="7">
        <v>107537.85622999987</v>
      </c>
      <c r="AJ14" s="7">
        <v>113409.75099000006</v>
      </c>
      <c r="AK14" s="7">
        <v>60197.798050000012</v>
      </c>
      <c r="AL14" s="7">
        <v>93863.647960000264</v>
      </c>
      <c r="AM14" s="7">
        <v>101109.63868999986</v>
      </c>
      <c r="AN14" s="7">
        <v>97668.341449999964</v>
      </c>
      <c r="AO14" s="7">
        <v>110198.46864000009</v>
      </c>
      <c r="AP14" s="7">
        <v>103740.27112</v>
      </c>
      <c r="AQ14" s="7">
        <v>103715.4626799999</v>
      </c>
      <c r="AR14" s="7">
        <v>94598.648309999975</v>
      </c>
      <c r="AS14" s="7">
        <v>92841.316479999994</v>
      </c>
      <c r="AT14" s="7">
        <v>96861.815399999919</v>
      </c>
      <c r="AU14" s="7">
        <v>106889.78496999999</v>
      </c>
      <c r="AV14" s="7">
        <v>118500.28739</v>
      </c>
      <c r="AW14" s="7">
        <v>194203.81304000001</v>
      </c>
      <c r="AX14" s="7">
        <v>103736.14101000001</v>
      </c>
      <c r="AY14" s="7">
        <v>99467.761830000003</v>
      </c>
      <c r="AZ14" s="7">
        <v>110165.1437</v>
      </c>
      <c r="BA14" s="7">
        <v>111244.07049</v>
      </c>
      <c r="BB14" s="7">
        <v>117533.75498</v>
      </c>
      <c r="BC14" s="7">
        <v>126985.015</v>
      </c>
      <c r="BD14" s="7">
        <v>115164.63262</v>
      </c>
      <c r="BE14" s="7">
        <v>106311.66798</v>
      </c>
      <c r="BF14" s="7">
        <v>117310.34871000001</v>
      </c>
      <c r="BG14" s="7">
        <v>124821.21149</v>
      </c>
      <c r="BH14" s="7">
        <v>173400.84649</v>
      </c>
      <c r="BI14" s="7">
        <v>227016.58269999991</v>
      </c>
      <c r="BJ14" s="7">
        <v>103979.974</v>
      </c>
      <c r="BK14" s="7">
        <v>115606.24999999999</v>
      </c>
      <c r="BL14" s="7">
        <v>112328.04899999998</v>
      </c>
      <c r="BM14" s="7">
        <v>112073.65299999999</v>
      </c>
      <c r="BN14" s="7">
        <f>'1'!S20-'1'!R20</f>
        <v>118063.25100000005</v>
      </c>
      <c r="BO14" s="7">
        <f>'1'!T20-'1'!S20</f>
        <v>112115.82299999997</v>
      </c>
      <c r="BP14" s="7">
        <f>'1'!U20-'1'!T20</f>
        <v>114020.12300000002</v>
      </c>
      <c r="BQ14" s="7">
        <f>'1'!V20-'1'!U20</f>
        <v>111718.50300000003</v>
      </c>
      <c r="BR14" s="7">
        <f>'1'!W20-'1'!V20</f>
        <v>109187.23599999992</v>
      </c>
      <c r="BS14" s="7">
        <f>'1'!X20-'1'!W20</f>
        <v>137556.31200000015</v>
      </c>
      <c r="BT14" s="7">
        <f>'1'!Y20-'1'!X20</f>
        <v>144239.26699999999</v>
      </c>
      <c r="BU14" s="7">
        <f>'1'!Z20-'1'!Y20</f>
        <v>218787.96299999999</v>
      </c>
      <c r="BV14" s="7">
        <v>106252.052</v>
      </c>
      <c r="BW14" s="7">
        <f>'1'!AC20-'1'!AB20</f>
        <v>106394.193</v>
      </c>
      <c r="BX14" s="7">
        <f>'1'!AD20-'1'!AC20</f>
        <v>113635.78899999999</v>
      </c>
      <c r="BY14" s="7">
        <f>'1'!AE20-'1'!AD20</f>
        <v>103083.32200000004</v>
      </c>
      <c r="BZ14" s="7">
        <f>'1'!AF20-'1'!AE20</f>
        <v>95649.491999999969</v>
      </c>
      <c r="CA14" s="7">
        <f>'1'!AG20-'1'!AF20</f>
        <v>108185.152</v>
      </c>
      <c r="CB14" s="7">
        <f>'1'!AH20-'1'!AG20</f>
        <v>139439.54000000004</v>
      </c>
      <c r="CC14" s="7">
        <f>'1'!AI20-'1'!AH20</f>
        <v>104066.38899999997</v>
      </c>
      <c r="CD14" s="7">
        <f>'1'!AJ20-'1'!AI20</f>
        <v>115287.14500000002</v>
      </c>
      <c r="CE14" s="7">
        <f>'1'!AK20-'1'!AJ20</f>
        <v>130610.86800000002</v>
      </c>
      <c r="CF14" s="7">
        <f>'1'!AL20-'1'!AK20</f>
        <v>131410.55000000005</v>
      </c>
      <c r="CG14" s="7">
        <f>'1'!AM20-'1'!AL20</f>
        <v>222209.71600000001</v>
      </c>
      <c r="CH14" s="7">
        <v>86644.277000000002</v>
      </c>
      <c r="CI14" s="7">
        <f>'1'!AP20-'1'!AO20</f>
        <v>107605.27799999999</v>
      </c>
      <c r="CJ14" s="7">
        <f>'1'!AQ20-'1'!AP20</f>
        <v>114929.071</v>
      </c>
      <c r="CK14" s="7">
        <f>'1'!AR20-'1'!AQ20</f>
        <v>115122.74599999998</v>
      </c>
      <c r="CL14" s="7">
        <f>'1'!AS20-'1'!AR20</f>
        <v>111709.91200000001</v>
      </c>
      <c r="CM14" s="7">
        <f>'1'!AT20-'1'!AS20</f>
        <v>136430.33999999997</v>
      </c>
      <c r="CN14" s="7">
        <f>'1'!AU20-'1'!AT20</f>
        <v>114563.16600000008</v>
      </c>
      <c r="CO14" s="7">
        <f>'1'!AV20-'1'!AU20</f>
        <v>110249.38</v>
      </c>
      <c r="CP14" s="7">
        <f>'1'!AW20-'1'!AV20</f>
        <v>128515.35599999991</v>
      </c>
      <c r="CQ14" s="7">
        <f>'1'!AX20-'1'!AW20</f>
        <v>125739.11100000015</v>
      </c>
      <c r="CR14" s="7">
        <f>'1'!AY20-'1'!AX20</f>
        <v>152714.83599999989</v>
      </c>
      <c r="CS14" s="7">
        <f>'1'!AZ20-'1'!AY20</f>
        <v>255232.098</v>
      </c>
      <c r="CT14" s="7">
        <v>132102.25899999999</v>
      </c>
      <c r="CU14" s="7">
        <f>'1'!BC20-'1'!BB20</f>
        <v>125912.514</v>
      </c>
      <c r="CV14" s="7">
        <f>'1'!BD20-'1'!BC20</f>
        <v>140955.91600000003</v>
      </c>
      <c r="CW14" s="7">
        <f>'1'!BE20-'1'!BD20</f>
        <v>136696.11600000004</v>
      </c>
      <c r="CX14" s="7">
        <f>'1'!BF20-'1'!BE20</f>
        <v>149280.56099999999</v>
      </c>
      <c r="CY14" s="7">
        <f>'1'!BG20-'1'!BF20</f>
        <v>143602.54399999999</v>
      </c>
      <c r="CZ14" s="7">
        <f>'1'!BH20-'1'!BG20</f>
        <v>140545.37799999991</v>
      </c>
      <c r="DA14" s="7">
        <f>'1'!BI20-'1'!BH20</f>
        <v>133134.71200000006</v>
      </c>
      <c r="DB14" s="7">
        <f>'1'!BJ20-'1'!BI20</f>
        <v>340314.04499999993</v>
      </c>
      <c r="DC14" s="7">
        <f>'1'!BK20-'1'!BJ20</f>
        <v>381721.12000000011</v>
      </c>
      <c r="DD14" s="7">
        <f>'1'!BL20-'1'!BK20</f>
        <v>167270.93699999992</v>
      </c>
      <c r="DE14" s="7">
        <f>'1'!BM20-'1'!BL20</f>
        <v>321701.00199999986</v>
      </c>
      <c r="DF14" s="7">
        <v>152720.13699999999</v>
      </c>
      <c r="DG14" s="115">
        <f>'1'!BP20-'1'!BO20</f>
        <v>153431.13</v>
      </c>
      <c r="DH14" s="115">
        <f>'1'!BQ20-'1'!BP20</f>
        <v>173666.40299999999</v>
      </c>
      <c r="DI14" s="115">
        <f>'1'!BR20-'1'!BQ20</f>
        <v>152022.00299999997</v>
      </c>
      <c r="DJ14" s="115">
        <f>'1'!BS20-'1'!BR20</f>
        <v>148524.5340000001</v>
      </c>
      <c r="DK14" s="115">
        <f>'1'!BT20-'1'!BS20</f>
        <v>153439.31799999997</v>
      </c>
      <c r="DL14" s="115">
        <f>'1'!BU20-'1'!BT20</f>
        <v>152421.23599999992</v>
      </c>
      <c r="DM14" s="115">
        <f>'1'!BV20-'1'!BU20</f>
        <v>158436.74</v>
      </c>
      <c r="DN14" s="115">
        <f>'1'!BW20-'1'!BV20</f>
        <v>170572.69200000004</v>
      </c>
      <c r="DO14" s="115">
        <f>'1'!BX20-'1'!BW20</f>
        <v>175977.89400000009</v>
      </c>
      <c r="DP14" s="115">
        <f>'1'!BY20-'1'!BX20</f>
        <v>182784.19999999995</v>
      </c>
      <c r="DQ14" s="115">
        <f>'1'!BZ20-'1'!BY20</f>
        <v>543953.18099999987</v>
      </c>
      <c r="DR14" s="115">
        <v>159800.26199999999</v>
      </c>
      <c r="DS14" s="115">
        <f>'1'!CC20-'1'!CB20</f>
        <v>160653.74200000003</v>
      </c>
      <c r="DT14" s="115">
        <f>'1'!CD20-'1'!CC20</f>
        <v>137812.24599999998</v>
      </c>
      <c r="DU14" s="115">
        <f>'1'!CE20-'1'!CD20</f>
        <v>154354.46999999997</v>
      </c>
      <c r="DV14" s="115">
        <f>'1'!CF20-'1'!CE20</f>
        <v>152661.94000000006</v>
      </c>
      <c r="DW14" s="115">
        <f>'1'!CG20-'1'!CF20</f>
        <v>161689.73899999994</v>
      </c>
      <c r="DX14" s="115">
        <f>'1'!CH20-'1'!CG20</f>
        <v>152741.64000000013</v>
      </c>
      <c r="DY14" s="115">
        <f>'1'!CI20-'1'!CH20</f>
        <v>142278.14099999983</v>
      </c>
      <c r="DZ14" s="115">
        <f>'1'!CJ20-'1'!CI20</f>
        <v>161453.22600000002</v>
      </c>
      <c r="EA14" s="115">
        <f>'1'!CK20-'1'!CJ20</f>
        <v>181702.24900000007</v>
      </c>
      <c r="EB14" s="115">
        <f>'1'!CL20-'1'!CK20</f>
        <v>209977.55700000003</v>
      </c>
      <c r="EC14" s="115">
        <f>'1'!CM20-'1'!CL20</f>
        <v>360763.18700000015</v>
      </c>
      <c r="ED14" s="115">
        <f>'1'!CO20</f>
        <v>143305.693</v>
      </c>
      <c r="EE14" s="115">
        <f>'1'!CP20-'1'!CO20</f>
        <v>273132.70400000003</v>
      </c>
      <c r="EF14" s="115">
        <f>'1'!CQ20-'1'!CP20</f>
        <v>168956.81999999995</v>
      </c>
      <c r="EG14" s="115">
        <f>'1'!CR20-'1'!CQ20</f>
        <v>158512.44300000009</v>
      </c>
      <c r="EH14" s="115">
        <f>'1'!CS20-'1'!CR20</f>
        <v>156793.35499999998</v>
      </c>
      <c r="EI14" s="115">
        <f>'1'!CT20-'1'!CS20</f>
        <v>182394.33900000004</v>
      </c>
      <c r="EJ14" s="115">
        <f>'1'!CU20-'1'!CT20</f>
        <v>169178.35699999984</v>
      </c>
      <c r="EK14" s="115">
        <f>'1'!CV20-'1'!CU20</f>
        <v>149523.16899999999</v>
      </c>
      <c r="EL14" s="115">
        <f>'1'!CW20-'1'!CV20</f>
        <v>187357.57500000019</v>
      </c>
      <c r="EM14" s="115">
        <f>'1'!CX20-'1'!CW20</f>
        <v>177489.22999999998</v>
      </c>
      <c r="EN14" s="115">
        <f>'1'!CY20-'1'!CX20</f>
        <v>202501.13800000004</v>
      </c>
      <c r="EO14" s="115">
        <f>'1'!CZ20-'1'!CY20</f>
        <v>366170.6399999999</v>
      </c>
      <c r="EP14" s="115">
        <f>'1'!DB20</f>
        <v>143724.49900000001</v>
      </c>
      <c r="EQ14" s="115">
        <f>'1'!DC20-'1'!DB20</f>
        <v>169845.609</v>
      </c>
      <c r="ER14" s="115">
        <f>'1'!DD20-'1'!DC20</f>
        <v>196454.24199999997</v>
      </c>
      <c r="ES14" s="115">
        <f>'1'!DE20-'1'!DD20</f>
        <v>174579.28800000006</v>
      </c>
      <c r="ET14" s="115">
        <f>'1'!DF20-'1'!DE20</f>
        <v>180349.85199999996</v>
      </c>
      <c r="EU14" s="115">
        <f>'1'!DG20-'1'!DF20</f>
        <v>202150.69800000009</v>
      </c>
      <c r="EV14" s="115">
        <f>'1'!DH20-'1'!DG20</f>
        <v>169528.65799999982</v>
      </c>
      <c r="EW14" s="218"/>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row>
    <row r="15" spans="1:185" s="50" customFormat="1" ht="15" customHeight="1">
      <c r="A15" s="19" t="s">
        <v>10</v>
      </c>
      <c r="B15" s="20">
        <v>63992.080999999998</v>
      </c>
      <c r="C15" s="20">
        <v>31215.030490000001</v>
      </c>
      <c r="D15" s="20">
        <v>60700.93765</v>
      </c>
      <c r="E15" s="20">
        <v>50238.071179999999</v>
      </c>
      <c r="F15" s="20">
        <v>8840.9679000000015</v>
      </c>
      <c r="G15" s="20">
        <v>14150.138519999999</v>
      </c>
      <c r="H15" s="20">
        <v>25790.093659999999</v>
      </c>
      <c r="I15" s="20">
        <v>25912.48602</v>
      </c>
      <c r="J15" s="20">
        <v>9708.2268199999999</v>
      </c>
      <c r="K15" s="20">
        <v>23537.18375</v>
      </c>
      <c r="L15" s="20">
        <v>14498.116540000001</v>
      </c>
      <c r="M15" s="20">
        <v>22124.561059999996</v>
      </c>
      <c r="N15" s="20">
        <v>90712.857680000001</v>
      </c>
      <c r="O15" s="20">
        <v>34253.45796</v>
      </c>
      <c r="P15" s="20">
        <v>29284.980639999998</v>
      </c>
      <c r="Q15" s="20">
        <v>57961.419499999996</v>
      </c>
      <c r="R15" s="20">
        <v>8007.801629999999</v>
      </c>
      <c r="S15" s="20">
        <v>15919.8639</v>
      </c>
      <c r="T15" s="20">
        <v>28134.604009999995</v>
      </c>
      <c r="U15" s="20">
        <v>28624.04781</v>
      </c>
      <c r="V15" s="20">
        <v>9408.2038599999978</v>
      </c>
      <c r="W15" s="20">
        <v>24162.523669999999</v>
      </c>
      <c r="X15" s="20">
        <v>15723.989360000001</v>
      </c>
      <c r="Y15" s="20">
        <v>93462.720979999998</v>
      </c>
      <c r="Z15" s="21">
        <v>47012.629829999998</v>
      </c>
      <c r="AA15" s="21">
        <v>33418.756599999993</v>
      </c>
      <c r="AB15" s="21">
        <v>29066.114870000001</v>
      </c>
      <c r="AC15" s="21">
        <v>29112.876220000002</v>
      </c>
      <c r="AD15" s="21">
        <v>34807.361859999997</v>
      </c>
      <c r="AE15" s="21">
        <v>15426.226729999998</v>
      </c>
      <c r="AF15" s="21">
        <v>20339.381830000002</v>
      </c>
      <c r="AG15" s="21">
        <v>28269.801240000004</v>
      </c>
      <c r="AH15" s="7">
        <v>10908.848820000001</v>
      </c>
      <c r="AI15" s="7">
        <v>24375.80817</v>
      </c>
      <c r="AJ15" s="7">
        <v>15469.21249</v>
      </c>
      <c r="AK15" s="7">
        <v>20415.219290000001</v>
      </c>
      <c r="AL15" s="7">
        <v>44504.711280000003</v>
      </c>
      <c r="AM15" s="7">
        <v>40316.174400000004</v>
      </c>
      <c r="AN15" s="7">
        <v>30597.758410000002</v>
      </c>
      <c r="AO15" s="7">
        <v>29697.227540000004</v>
      </c>
      <c r="AP15" s="7">
        <v>44548.555460000003</v>
      </c>
      <c r="AQ15" s="7">
        <v>14149.75526</v>
      </c>
      <c r="AR15" s="7">
        <v>14806.033970000002</v>
      </c>
      <c r="AS15" s="7">
        <v>5256.8433100000002</v>
      </c>
      <c r="AT15" s="7">
        <v>10800.527170000001</v>
      </c>
      <c r="AU15" s="7">
        <v>27673.881429999998</v>
      </c>
      <c r="AV15" s="7">
        <v>15131.176090000001</v>
      </c>
      <c r="AW15" s="7">
        <v>19533.46197</v>
      </c>
      <c r="AX15" s="7">
        <v>41283.284030000003</v>
      </c>
      <c r="AY15" s="7">
        <v>21072.331190000001</v>
      </c>
      <c r="AZ15" s="7">
        <v>30870.77865</v>
      </c>
      <c r="BA15" s="7">
        <v>57662.760970000003</v>
      </c>
      <c r="BB15" s="7">
        <v>18191.633020000001</v>
      </c>
      <c r="BC15" s="7">
        <v>13816.066999999999</v>
      </c>
      <c r="BD15" s="7">
        <v>13594.692999999999</v>
      </c>
      <c r="BE15" s="7">
        <v>5923.5433000000003</v>
      </c>
      <c r="BF15" s="7">
        <v>10747.695019999999</v>
      </c>
      <c r="BG15" s="7">
        <v>27464.412929999999</v>
      </c>
      <c r="BH15" s="7">
        <v>15235.8212</v>
      </c>
      <c r="BI15" s="7">
        <v>19815.825690000027</v>
      </c>
      <c r="BJ15" s="7">
        <v>39671.228000000003</v>
      </c>
      <c r="BK15" s="7">
        <v>32837.11</v>
      </c>
      <c r="BL15" s="7">
        <v>6854.1209999999992</v>
      </c>
      <c r="BM15" s="7">
        <v>57803.201000000001</v>
      </c>
      <c r="BN15" s="7">
        <f>'1'!S21-'1'!R21</f>
        <v>23910.18299999999</v>
      </c>
      <c r="BO15" s="7">
        <f>'1'!T21-'1'!S21</f>
        <v>13937.157000000007</v>
      </c>
      <c r="BP15" s="7">
        <f>'1'!U21-'1'!T21</f>
        <v>13021.928000000014</v>
      </c>
      <c r="BQ15" s="7">
        <f>'1'!V21-'1'!U21</f>
        <v>4523.2049999999872</v>
      </c>
      <c r="BR15" s="7">
        <f>'1'!W21-'1'!V21</f>
        <v>11031.051000000007</v>
      </c>
      <c r="BS15" s="7">
        <f>'1'!X21-'1'!W21</f>
        <v>24361.462999999989</v>
      </c>
      <c r="BT15" s="7">
        <f>'1'!Y21-'1'!X21</f>
        <v>15302.542000000016</v>
      </c>
      <c r="BU15" s="7">
        <f>'1'!Z21-'1'!Y21</f>
        <v>19865.017999999982</v>
      </c>
      <c r="BV15" s="7">
        <v>44058.985999999997</v>
      </c>
      <c r="BW15" s="7">
        <f>'1'!AC21-'1'!AB21</f>
        <v>48912.061000000009</v>
      </c>
      <c r="BX15" s="7">
        <f>'1'!AD21-'1'!AC21</f>
        <v>9452.4579999999987</v>
      </c>
      <c r="BY15" s="7">
        <f>'1'!AE21-'1'!AD21</f>
        <v>41494.661999999982</v>
      </c>
      <c r="BZ15" s="7">
        <f>'1'!AF21-'1'!AE21</f>
        <v>18154.820000000007</v>
      </c>
      <c r="CA15" s="7">
        <f>'1'!AG21-'1'!AF21</f>
        <v>21192.013000000006</v>
      </c>
      <c r="CB15" s="7">
        <f>'1'!AH21-'1'!AG21</f>
        <v>4890.7669999999925</v>
      </c>
      <c r="CC15" s="7">
        <f>'1'!AI21-'1'!AH21</f>
        <v>3387.804999999993</v>
      </c>
      <c r="CD15" s="7">
        <f>'1'!AJ21-'1'!AI21</f>
        <v>12491.387000000017</v>
      </c>
      <c r="CE15" s="7">
        <f>'1'!AK21-'1'!AJ21</f>
        <v>25239.513000000006</v>
      </c>
      <c r="CF15" s="7">
        <f>'1'!AL21-'1'!AK21</f>
        <v>13488.517999999982</v>
      </c>
      <c r="CG15" s="7">
        <f>'1'!AM21-'1'!AL21</f>
        <v>20125.429000000004</v>
      </c>
      <c r="CH15" s="7">
        <v>43448.696000000004</v>
      </c>
      <c r="CI15" s="7">
        <f>'1'!AP21-'1'!AO21</f>
        <v>51049.976000000002</v>
      </c>
      <c r="CJ15" s="7">
        <f>'1'!AQ21-'1'!AP21</f>
        <v>6380.6459999999934</v>
      </c>
      <c r="CK15" s="7">
        <f>'1'!AR21-'1'!AQ21</f>
        <v>42232.171999999991</v>
      </c>
      <c r="CL15" s="7">
        <f>'1'!AS21-'1'!AR21</f>
        <v>22529.752999999997</v>
      </c>
      <c r="CM15" s="7">
        <f>'1'!AT21-'1'!AS21</f>
        <v>19012.722999999998</v>
      </c>
      <c r="CN15" s="7">
        <f>'1'!AU21-'1'!AT21</f>
        <v>3938.9310000000114</v>
      </c>
      <c r="CO15" s="7">
        <f>'1'!AV21-'1'!AU21</f>
        <v>3243.1560000000172</v>
      </c>
      <c r="CP15" s="7">
        <f>'1'!AW21-'1'!AV21</f>
        <v>12452.231999999989</v>
      </c>
      <c r="CQ15" s="7">
        <f>'1'!AX21-'1'!AW21</f>
        <v>26665.926000000007</v>
      </c>
      <c r="CR15" s="7">
        <f>'1'!AY21-'1'!AX21</f>
        <v>17492.218999999983</v>
      </c>
      <c r="CS15" s="7">
        <f>'1'!AZ21-'1'!AY21</f>
        <v>8142.7250000000058</v>
      </c>
      <c r="CT15" s="7">
        <v>3863.1010000000001</v>
      </c>
      <c r="CU15" s="7">
        <f>'1'!BC21-'1'!BB21</f>
        <v>45889.845000000001</v>
      </c>
      <c r="CV15" s="7">
        <f>'1'!BD21-'1'!BC21</f>
        <v>7585.2739999999976</v>
      </c>
      <c r="CW15" s="7">
        <f>'1'!BE21-'1'!BD21</f>
        <v>7220.0970000000016</v>
      </c>
      <c r="CX15" s="7">
        <f>'1'!BF21-'1'!BE21</f>
        <v>57937.859999999993</v>
      </c>
      <c r="CY15" s="7">
        <f>'1'!BG21-'1'!BF21</f>
        <v>4296.8249999999971</v>
      </c>
      <c r="CZ15" s="7">
        <f>'1'!BH21-'1'!BG21</f>
        <v>4196.8970000000118</v>
      </c>
      <c r="DA15" s="7">
        <f>'1'!BI21-'1'!BH21</f>
        <v>5290.3090000000084</v>
      </c>
      <c r="DB15" s="7">
        <f>'1'!BJ21-'1'!BI21</f>
        <v>18180.781999999977</v>
      </c>
      <c r="DC15" s="7">
        <f>'1'!BK21-'1'!BJ21</f>
        <v>21406.366000000009</v>
      </c>
      <c r="DD15" s="7">
        <f>'1'!BL21-'1'!BK21</f>
        <v>13715.277000000002</v>
      </c>
      <c r="DE15" s="7">
        <f>'1'!BM21-'1'!BL21</f>
        <v>6949.2149999999965</v>
      </c>
      <c r="DF15" s="7">
        <v>4676.8140000000003</v>
      </c>
      <c r="DG15" s="115">
        <f>'1'!BP21-'1'!BO21</f>
        <v>48215.86</v>
      </c>
      <c r="DH15" s="115">
        <f>'1'!BQ21-'1'!BP21</f>
        <v>19736.156000000003</v>
      </c>
      <c r="DI15" s="115">
        <f>'1'!BR21-'1'!BQ21</f>
        <v>12163.562000000005</v>
      </c>
      <c r="DJ15" s="115">
        <f>'1'!BS21-'1'!BR21</f>
        <v>68411.877999999982</v>
      </c>
      <c r="DK15" s="115">
        <f>'1'!BT21-'1'!BS21</f>
        <v>3473.176999999996</v>
      </c>
      <c r="DL15" s="115">
        <f>'1'!BU21-'1'!BT21</f>
        <v>3128.9040000000095</v>
      </c>
      <c r="DM15" s="115">
        <f>'1'!BV21-'1'!BU21</f>
        <v>8276.6000000000058</v>
      </c>
      <c r="DN15" s="115">
        <f>'1'!BW21-'1'!BV21</f>
        <v>18878.344000000012</v>
      </c>
      <c r="DO15" s="115">
        <f>'1'!BX21-'1'!BW21</f>
        <v>16582.597999999998</v>
      </c>
      <c r="DP15" s="115">
        <f>'1'!BY21-'1'!BX21</f>
        <v>22174.156999999977</v>
      </c>
      <c r="DQ15" s="115">
        <f>'1'!BZ21-'1'!BY21</f>
        <v>3023.6110000000044</v>
      </c>
      <c r="DR15" s="115">
        <v>43141.928</v>
      </c>
      <c r="DS15" s="115">
        <f>'1'!CC21-'1'!CB21</f>
        <v>51354.168000000005</v>
      </c>
      <c r="DT15" s="115">
        <f>'1'!CD21-'1'!CC21</f>
        <v>49543.020999999993</v>
      </c>
      <c r="DU15" s="115">
        <f>'1'!CE21-'1'!CD21</f>
        <v>49204.991999999998</v>
      </c>
      <c r="DV15" s="115">
        <f>'1'!CF21-'1'!CE21</f>
        <v>52893.782999999996</v>
      </c>
      <c r="DW15" s="115">
        <f>'1'!CG21-'1'!CF21</f>
        <v>4673.5219999999972</v>
      </c>
      <c r="DX15" s="115">
        <f>'1'!CH21-'1'!CG21</f>
        <v>41807.401000000013</v>
      </c>
      <c r="DY15" s="115">
        <f>'1'!CI21-'1'!CH21</f>
        <v>9476.5470000000205</v>
      </c>
      <c r="DZ15" s="115">
        <f>'1'!CJ21-'1'!CI21</f>
        <v>19774.375999999989</v>
      </c>
      <c r="EA15" s="115">
        <f>'1'!CK21-'1'!CJ21</f>
        <v>18209.011999999988</v>
      </c>
      <c r="EB15" s="115">
        <f>'1'!CL21-'1'!CK21</f>
        <v>20051.940000000002</v>
      </c>
      <c r="EC15" s="115">
        <f>'1'!CM21-'1'!CL21</f>
        <v>11821.706999999995</v>
      </c>
      <c r="ED15" s="115">
        <f>'1'!CO21</f>
        <v>98576.904999999999</v>
      </c>
      <c r="EE15" s="115">
        <f>'1'!CP21-'1'!CO21</f>
        <v>48869.095000000001</v>
      </c>
      <c r="EF15" s="115">
        <f>'1'!CQ21-'1'!CP21</f>
        <v>51628.005999999994</v>
      </c>
      <c r="EG15" s="115">
        <f>'1'!CR21-'1'!CQ21</f>
        <v>4045.1940000000177</v>
      </c>
      <c r="EH15" s="115">
        <f>'1'!CS21-'1'!CR21</f>
        <v>77775.04800000001</v>
      </c>
      <c r="EI15" s="115">
        <f>'1'!CT21-'1'!CS21</f>
        <v>4412.036999999953</v>
      </c>
      <c r="EJ15" s="115">
        <f>'1'!CU21-'1'!CT21</f>
        <v>68207.905000000028</v>
      </c>
      <c r="EK15" s="115">
        <f>'1'!CV21-'1'!CU21</f>
        <v>7875.9369999999763</v>
      </c>
      <c r="EL15" s="115">
        <f>'1'!CW21-'1'!CV21</f>
        <v>23270.601000000024</v>
      </c>
      <c r="EM15" s="115">
        <f>'1'!CX21-'1'!CW21</f>
        <v>16734.449000000022</v>
      </c>
      <c r="EN15" s="115">
        <f>'1'!CY21-'1'!CX21</f>
        <v>11209.114999999991</v>
      </c>
      <c r="EO15" s="115">
        <f>'1'!CZ21-'1'!CY21</f>
        <v>11248.065000000002</v>
      </c>
      <c r="EP15" s="115">
        <f>'1'!DB21</f>
        <v>107398.72500000001</v>
      </c>
      <c r="EQ15" s="115">
        <f>'1'!DC21-'1'!DB21</f>
        <v>47532.158999999985</v>
      </c>
      <c r="ER15" s="115">
        <f>'1'!DD21-'1'!DC21</f>
        <v>47802.388000000006</v>
      </c>
      <c r="ES15" s="115">
        <f>'1'!DE21-'1'!DD21</f>
        <v>2936.7490000000107</v>
      </c>
      <c r="ET15" s="115">
        <f>'1'!DF21-'1'!DE21</f>
        <v>111034.81</v>
      </c>
      <c r="EU15" s="115">
        <f>'1'!DG21-'1'!DF21</f>
        <v>12691.980999999971</v>
      </c>
      <c r="EV15" s="115">
        <f>'1'!DH21-'1'!DG21</f>
        <v>71383.135999999999</v>
      </c>
      <c r="EW15" s="218"/>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row>
    <row r="16" spans="1:185" s="50" customFormat="1" ht="15" customHeight="1">
      <c r="A16" s="19" t="s">
        <v>11</v>
      </c>
      <c r="B16" s="20">
        <v>101415.22600000001</v>
      </c>
      <c r="C16" s="20">
        <v>166369.40699999998</v>
      </c>
      <c r="D16" s="20">
        <v>124685.933</v>
      </c>
      <c r="E16" s="20">
        <v>145780.10699999999</v>
      </c>
      <c r="F16" s="20">
        <v>130947.92300000001</v>
      </c>
      <c r="G16" s="20">
        <v>120695.11699999998</v>
      </c>
      <c r="H16" s="20">
        <v>146095.97899999999</v>
      </c>
      <c r="I16" s="20">
        <v>125690.16500000001</v>
      </c>
      <c r="J16" s="20">
        <v>128548.79147000005</v>
      </c>
      <c r="K16" s="20">
        <v>173447.62348000001</v>
      </c>
      <c r="L16" s="20">
        <v>217377.51402999999</v>
      </c>
      <c r="M16" s="20">
        <v>358755.87270999991</v>
      </c>
      <c r="N16" s="20">
        <v>116367.62912</v>
      </c>
      <c r="O16" s="20">
        <v>152734.69889999999</v>
      </c>
      <c r="P16" s="20">
        <v>148900.81263999996</v>
      </c>
      <c r="Q16" s="20">
        <v>151210.89090999999</v>
      </c>
      <c r="R16" s="20">
        <v>113819.53267000003</v>
      </c>
      <c r="S16" s="20">
        <v>141662.58952000001</v>
      </c>
      <c r="T16" s="20">
        <v>147999.41914000001</v>
      </c>
      <c r="U16" s="20">
        <v>136439.18986000001</v>
      </c>
      <c r="V16" s="20">
        <v>134190.04462</v>
      </c>
      <c r="W16" s="20">
        <v>126156.27808999998</v>
      </c>
      <c r="X16" s="20">
        <v>165431.46818000005</v>
      </c>
      <c r="Y16" s="20">
        <v>259221.39649000007</v>
      </c>
      <c r="Z16" s="21">
        <v>146011.67220999996</v>
      </c>
      <c r="AA16" s="21">
        <v>181931.20739999998</v>
      </c>
      <c r="AB16" s="21">
        <v>186857.10099999994</v>
      </c>
      <c r="AC16" s="21">
        <v>220985.95011000001</v>
      </c>
      <c r="AD16" s="21">
        <v>106501.27389000003</v>
      </c>
      <c r="AE16" s="21">
        <v>115945.19963999999</v>
      </c>
      <c r="AF16" s="21">
        <v>140283.79121999998</v>
      </c>
      <c r="AG16" s="21">
        <v>101750.37017999998</v>
      </c>
      <c r="AH16" s="7">
        <v>101230.89437000004</v>
      </c>
      <c r="AI16" s="7">
        <v>183536.66703000004</v>
      </c>
      <c r="AJ16" s="7">
        <v>167006.61972000002</v>
      </c>
      <c r="AK16" s="7">
        <v>251443.25930999994</v>
      </c>
      <c r="AL16" s="7">
        <v>132387.85641000001</v>
      </c>
      <c r="AM16" s="7">
        <v>165604.79547000001</v>
      </c>
      <c r="AN16" s="7">
        <v>130506.03977999998</v>
      </c>
      <c r="AO16" s="7">
        <v>122938.04629999997</v>
      </c>
      <c r="AP16" s="7">
        <v>121039.53380999999</v>
      </c>
      <c r="AQ16" s="7">
        <v>175875.79893000005</v>
      </c>
      <c r="AR16" s="7">
        <v>113440.26885999998</v>
      </c>
      <c r="AS16" s="7">
        <v>114649.22162999999</v>
      </c>
      <c r="AT16" s="7">
        <v>115880.54756999998</v>
      </c>
      <c r="AU16" s="7">
        <v>222469.38056999995</v>
      </c>
      <c r="AV16" s="7">
        <v>193692.32335000002</v>
      </c>
      <c r="AW16" s="7">
        <v>293246.73626999999</v>
      </c>
      <c r="AX16" s="7">
        <v>140233.22198</v>
      </c>
      <c r="AY16" s="7">
        <v>150603.79183</v>
      </c>
      <c r="AZ16" s="7">
        <v>142782.65220000001</v>
      </c>
      <c r="BA16" s="7">
        <v>212159.22821</v>
      </c>
      <c r="BB16" s="7">
        <v>136130.30843</v>
      </c>
      <c r="BC16" s="7">
        <v>156552.34899999999</v>
      </c>
      <c r="BD16" s="7">
        <v>157964.11814000001</v>
      </c>
      <c r="BE16" s="7">
        <v>174139.81487999999</v>
      </c>
      <c r="BF16" s="7">
        <v>136764.73691000001</v>
      </c>
      <c r="BG16" s="7">
        <v>290427.14921</v>
      </c>
      <c r="BH16" s="7">
        <v>196887.31004000001</v>
      </c>
      <c r="BI16" s="7">
        <v>381477.5951700001</v>
      </c>
      <c r="BJ16" s="7">
        <v>149893.02499999999</v>
      </c>
      <c r="BK16" s="7">
        <v>164463.65599999999</v>
      </c>
      <c r="BL16" s="7">
        <v>159083.42900000003</v>
      </c>
      <c r="BM16" s="7">
        <v>168970.96600000001</v>
      </c>
      <c r="BN16" s="7">
        <f>'1'!S22-'1'!R22</f>
        <v>154578.89599999995</v>
      </c>
      <c r="BO16" s="7">
        <f>'1'!T22-'1'!S22</f>
        <v>148206.02800000005</v>
      </c>
      <c r="BP16" s="7">
        <f>'1'!U22-'1'!T22</f>
        <v>188465.25399999996</v>
      </c>
      <c r="BQ16" s="7">
        <f>'1'!V22-'1'!U22</f>
        <v>157785.03399999999</v>
      </c>
      <c r="BR16" s="7">
        <f>'1'!W22-'1'!V22</f>
        <v>148447.42700000014</v>
      </c>
      <c r="BS16" s="7">
        <f>'1'!X22-'1'!W22</f>
        <v>270036.75</v>
      </c>
      <c r="BT16" s="7">
        <f>'1'!Y22-'1'!X22</f>
        <v>204726.33400000003</v>
      </c>
      <c r="BU16" s="7">
        <f>'1'!Z22-'1'!Y22</f>
        <v>414767.29600000009</v>
      </c>
      <c r="BV16" s="7">
        <v>165668.06</v>
      </c>
      <c r="BW16" s="7">
        <f>'1'!AC22-'1'!AB22</f>
        <v>186276.37800000003</v>
      </c>
      <c r="BX16" s="7">
        <f>'1'!AD22-'1'!AC22</f>
        <v>207729.81300000002</v>
      </c>
      <c r="BY16" s="7">
        <f>'1'!AE22-'1'!AD22</f>
        <v>301626.152</v>
      </c>
      <c r="BZ16" s="7">
        <f>'1'!AF22-'1'!AE22</f>
        <v>131891.35099999991</v>
      </c>
      <c r="CA16" s="7">
        <f>'1'!AG22-'1'!AF22</f>
        <v>161213.24600000004</v>
      </c>
      <c r="CB16" s="7">
        <f>'1'!AH22-'1'!AG22</f>
        <v>183163.68999999994</v>
      </c>
      <c r="CC16" s="7">
        <f>'1'!AI22-'1'!AH22</f>
        <v>272957.44400000013</v>
      </c>
      <c r="CD16" s="7">
        <f>'1'!AJ22-'1'!AI22</f>
        <v>192535.29999999981</v>
      </c>
      <c r="CE16" s="7">
        <f>'1'!AK22-'1'!AJ22</f>
        <v>308122.49600000028</v>
      </c>
      <c r="CF16" s="7">
        <f>'1'!AL22-'1'!AK22</f>
        <v>182384.95099999988</v>
      </c>
      <c r="CG16" s="7">
        <f>'1'!AM22-'1'!AL22</f>
        <v>480187.55099999998</v>
      </c>
      <c r="CH16" s="7">
        <v>151037.611</v>
      </c>
      <c r="CI16" s="7">
        <f>'1'!AP22-'1'!AO22</f>
        <v>249161.87000000002</v>
      </c>
      <c r="CJ16" s="7">
        <f>'1'!AQ22-'1'!AP22</f>
        <v>229508.14</v>
      </c>
      <c r="CK16" s="7">
        <f>'1'!AR22-'1'!AQ22</f>
        <v>237313.11599999992</v>
      </c>
      <c r="CL16" s="7">
        <f>'1'!AS22-'1'!AR22</f>
        <v>214250.81099999999</v>
      </c>
      <c r="CM16" s="7">
        <f>'1'!AT22-'1'!AS22</f>
        <v>225316.28600000008</v>
      </c>
      <c r="CN16" s="7">
        <f>'1'!AU22-'1'!AT22</f>
        <v>221845.06599999988</v>
      </c>
      <c r="CO16" s="7">
        <f>'1'!AV22-'1'!AU22</f>
        <v>216667.26800000016</v>
      </c>
      <c r="CP16" s="7">
        <f>'1'!AW22-'1'!AV22</f>
        <v>243653.71099999989</v>
      </c>
      <c r="CQ16" s="7">
        <f>'1'!AX22-'1'!AW22</f>
        <v>339976.69800000009</v>
      </c>
      <c r="CR16" s="7">
        <f>'1'!AY22-'1'!AX22</f>
        <v>231041.38100000005</v>
      </c>
      <c r="CS16" s="7">
        <f>'1'!AZ22-'1'!AY22</f>
        <v>554910.08600000013</v>
      </c>
      <c r="CT16" s="7">
        <v>257874.568</v>
      </c>
      <c r="CU16" s="7">
        <f>'1'!BC22-'1'!BB22</f>
        <v>276249.07500000007</v>
      </c>
      <c r="CV16" s="7">
        <f>'1'!BD22-'1'!BC22</f>
        <v>335343.18999999994</v>
      </c>
      <c r="CW16" s="7">
        <f>'1'!BE22-'1'!BD22</f>
        <v>304695.6320000001</v>
      </c>
      <c r="CX16" s="7">
        <f>'1'!BF22-'1'!BE22</f>
        <v>309736.71600000001</v>
      </c>
      <c r="CY16" s="7">
        <f>'1'!BG22-'1'!BF22</f>
        <v>281627.0299999998</v>
      </c>
      <c r="CZ16" s="7">
        <f>'1'!BH22-'1'!BG22</f>
        <v>229564.84700000007</v>
      </c>
      <c r="DA16" s="7">
        <f>'1'!BI22-'1'!BH22</f>
        <v>230895.58200000017</v>
      </c>
      <c r="DB16" s="7">
        <f>'1'!BJ22-'1'!BI22</f>
        <v>239138.94499999983</v>
      </c>
      <c r="DC16" s="7">
        <f>'1'!BK22-'1'!BJ22</f>
        <v>360039.18099999987</v>
      </c>
      <c r="DD16" s="7">
        <f>'1'!BL22-'1'!BK22</f>
        <v>273605.4450000003</v>
      </c>
      <c r="DE16" s="7">
        <f>'1'!BM22-'1'!BL22</f>
        <v>742088.92799999984</v>
      </c>
      <c r="DF16" s="7">
        <v>220148</v>
      </c>
      <c r="DG16" s="115">
        <f>'1'!BP22-'1'!BO22</f>
        <v>441898.65</v>
      </c>
      <c r="DH16" s="115">
        <f>'1'!BQ22-'1'!BP22</f>
        <v>366255.53399999999</v>
      </c>
      <c r="DI16" s="115">
        <f>'1'!BR22-'1'!BQ22</f>
        <v>317933.56699999992</v>
      </c>
      <c r="DJ16" s="115">
        <f>'1'!BS22-'1'!BR22</f>
        <v>288936.9850000001</v>
      </c>
      <c r="DK16" s="115">
        <f>'1'!BT22-'1'!BS22</f>
        <v>274461.82499999995</v>
      </c>
      <c r="DL16" s="115">
        <f>'1'!BU22-'1'!BT22</f>
        <v>278061.69999999995</v>
      </c>
      <c r="DM16" s="115">
        <f>'1'!BV22-'1'!BU22</f>
        <v>266142.41300000018</v>
      </c>
      <c r="DN16" s="115">
        <f>'1'!BW22-'1'!BV22</f>
        <v>261564.11700000009</v>
      </c>
      <c r="DO16" s="115">
        <f>'1'!BX22-'1'!BW22</f>
        <v>308407.12099999981</v>
      </c>
      <c r="DP16" s="115">
        <f>'1'!BY22-'1'!BX22</f>
        <v>360270.34200000018</v>
      </c>
      <c r="DQ16" s="115">
        <f>'1'!BZ22-'1'!BY22</f>
        <v>652034.43299999973</v>
      </c>
      <c r="DR16" s="115">
        <v>321531.875</v>
      </c>
      <c r="DS16" s="115">
        <f>'1'!CC22-'1'!CB22</f>
        <v>243641.05200000003</v>
      </c>
      <c r="DT16" s="115">
        <f>'1'!CD22-'1'!CC22</f>
        <v>311617.13</v>
      </c>
      <c r="DU16" s="115">
        <f>'1'!CE22-'1'!CD22</f>
        <v>448047.40500000003</v>
      </c>
      <c r="DV16" s="115">
        <f>'1'!CF22-'1'!CE22</f>
        <v>276152.98699999996</v>
      </c>
      <c r="DW16" s="115">
        <f>'1'!CG22-'1'!CF22</f>
        <v>297706.32599999988</v>
      </c>
      <c r="DX16" s="115">
        <f>'1'!CH22-'1'!CG22</f>
        <v>327803.56900000013</v>
      </c>
      <c r="DY16" s="115">
        <f>'1'!CI22-'1'!CH22</f>
        <v>295924.26699999999</v>
      </c>
      <c r="DZ16" s="115">
        <f>'1'!CJ22-'1'!CI22</f>
        <v>250786.07400000002</v>
      </c>
      <c r="EA16" s="115">
        <f>'1'!CK22-'1'!CJ22</f>
        <v>368241.64599999972</v>
      </c>
      <c r="EB16" s="115">
        <f>'1'!CL22-'1'!CK22</f>
        <v>294338.58000000007</v>
      </c>
      <c r="EC16" s="115">
        <f>'1'!CM22-'1'!CL22</f>
        <v>614434.41800000006</v>
      </c>
      <c r="ED16" s="115">
        <f>'1'!CO22</f>
        <v>331213.35399999999</v>
      </c>
      <c r="EE16" s="115">
        <f>'1'!CP22-'1'!CO22</f>
        <v>311752.17499999999</v>
      </c>
      <c r="EF16" s="115">
        <f>'1'!CQ22-'1'!CP22</f>
        <v>394747.96900000004</v>
      </c>
      <c r="EG16" s="115">
        <f>'1'!CR22-'1'!CQ22</f>
        <v>419502.04200000002</v>
      </c>
      <c r="EH16" s="115">
        <f>'1'!CS22-'1'!CR22</f>
        <v>291518.92200000002</v>
      </c>
      <c r="EI16" s="115">
        <f>'1'!CT22-'1'!CS22</f>
        <v>259535.77199999988</v>
      </c>
      <c r="EJ16" s="115">
        <f>'1'!CU22-'1'!CT22</f>
        <v>322514.26600000006</v>
      </c>
      <c r="EK16" s="115">
        <f>'1'!CV22-'1'!CU22</f>
        <v>338433.89399999985</v>
      </c>
      <c r="EL16" s="115">
        <f>'1'!CW22-'1'!CV22</f>
        <v>325537.679</v>
      </c>
      <c r="EM16" s="115">
        <f>'1'!CX22-'1'!CW22</f>
        <v>401537.39600000018</v>
      </c>
      <c r="EN16" s="115">
        <f>'1'!CY22-'1'!CX22</f>
        <v>320857.25600000005</v>
      </c>
      <c r="EO16" s="115">
        <f>'1'!CZ22-'1'!CY22</f>
        <v>636769.52200000035</v>
      </c>
      <c r="EP16" s="115">
        <f>'1'!DB22</f>
        <v>367823.44400000002</v>
      </c>
      <c r="EQ16" s="115">
        <f>'1'!DC22-'1'!DB22</f>
        <v>322300.46899999992</v>
      </c>
      <c r="ER16" s="115">
        <f>'1'!DD22-'1'!DC22</f>
        <v>333200.9530000001</v>
      </c>
      <c r="ES16" s="115">
        <f>'1'!DE22-'1'!DD22</f>
        <v>359686.09399999992</v>
      </c>
      <c r="ET16" s="115">
        <f>'1'!DF22-'1'!DE22</f>
        <v>296360.69400000013</v>
      </c>
      <c r="EU16" s="115">
        <f>'1'!DG22-'1'!DF22</f>
        <v>307349.67099999986</v>
      </c>
      <c r="EV16" s="115">
        <f>'1'!DH22-'1'!DG22</f>
        <v>395287.14599999995</v>
      </c>
      <c r="EW16" s="218"/>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row>
    <row r="17" spans="1:185" s="50" customFormat="1" ht="15" customHeight="1">
      <c r="A17" s="19" t="s">
        <v>12</v>
      </c>
      <c r="B17" s="20">
        <v>164911.15899999999</v>
      </c>
      <c r="C17" s="20">
        <v>204990.166</v>
      </c>
      <c r="D17" s="20">
        <v>201945.07447000002</v>
      </c>
      <c r="E17" s="20">
        <v>245695.43164</v>
      </c>
      <c r="F17" s="20">
        <v>160455.18341999999</v>
      </c>
      <c r="G17" s="20">
        <v>204258.94952999998</v>
      </c>
      <c r="H17" s="20">
        <v>203022.36854</v>
      </c>
      <c r="I17" s="20">
        <v>194401.52824000001</v>
      </c>
      <c r="J17" s="20">
        <v>209945.51497999998</v>
      </c>
      <c r="K17" s="20">
        <v>205975.96096</v>
      </c>
      <c r="L17" s="20">
        <v>201652.67914999998</v>
      </c>
      <c r="M17" s="20">
        <v>250305.92691000001</v>
      </c>
      <c r="N17" s="20">
        <v>175910.50240999999</v>
      </c>
      <c r="O17" s="20">
        <v>216497.60507999998</v>
      </c>
      <c r="P17" s="20">
        <v>256477.59437000001</v>
      </c>
      <c r="Q17" s="20">
        <v>218027.70988999997</v>
      </c>
      <c r="R17" s="20">
        <v>174909.15969999999</v>
      </c>
      <c r="S17" s="20">
        <v>235858.54334999999</v>
      </c>
      <c r="T17" s="20">
        <v>212965.52067999999</v>
      </c>
      <c r="U17" s="20">
        <v>197944.39211000002</v>
      </c>
      <c r="V17" s="20">
        <v>233868.08277999994</v>
      </c>
      <c r="W17" s="20">
        <v>201968.00000000003</v>
      </c>
      <c r="X17" s="20">
        <v>219976.44354999997</v>
      </c>
      <c r="Y17" s="20">
        <v>243702.40376999998</v>
      </c>
      <c r="Z17" s="21">
        <v>201779.21328999999</v>
      </c>
      <c r="AA17" s="21">
        <v>228182.86668000001</v>
      </c>
      <c r="AB17" s="21">
        <v>245699.42108999999</v>
      </c>
      <c r="AC17" s="21">
        <v>229463.83192</v>
      </c>
      <c r="AD17" s="21">
        <v>224548.44579</v>
      </c>
      <c r="AE17" s="21">
        <v>225630.41743000003</v>
      </c>
      <c r="AF17" s="21">
        <v>202778.89171999999</v>
      </c>
      <c r="AG17" s="21">
        <v>241310.70590000006</v>
      </c>
      <c r="AH17" s="7">
        <v>227364.92086999989</v>
      </c>
      <c r="AI17" s="7">
        <v>209961.55898</v>
      </c>
      <c r="AJ17" s="7">
        <v>246711.25462999998</v>
      </c>
      <c r="AK17" s="7">
        <v>219058.19652</v>
      </c>
      <c r="AL17" s="7">
        <v>248072.13278000001</v>
      </c>
      <c r="AM17" s="7">
        <v>233382.61858000001</v>
      </c>
      <c r="AN17" s="7">
        <v>241121.04454</v>
      </c>
      <c r="AO17" s="7">
        <v>255022.05257999999</v>
      </c>
      <c r="AP17" s="7">
        <v>211676.04712</v>
      </c>
      <c r="AQ17" s="7">
        <v>235162.59741000002</v>
      </c>
      <c r="AR17" s="7">
        <v>212258.68881000002</v>
      </c>
      <c r="AS17" s="7">
        <v>248023.27688000002</v>
      </c>
      <c r="AT17" s="7">
        <v>219116.97987999997</v>
      </c>
      <c r="AU17" s="7">
        <v>255477.19774999999</v>
      </c>
      <c r="AV17" s="7">
        <v>239946.00356000001</v>
      </c>
      <c r="AW17" s="7">
        <v>230819.71968000001</v>
      </c>
      <c r="AX17" s="7">
        <v>255779.96230000001</v>
      </c>
      <c r="AY17" s="7">
        <v>245165.92337999999</v>
      </c>
      <c r="AZ17" s="7">
        <v>253281.16784000001</v>
      </c>
      <c r="BA17" s="7">
        <v>269091.76270000002</v>
      </c>
      <c r="BB17" s="7">
        <v>234499.41312000001</v>
      </c>
      <c r="BC17" s="7">
        <v>237228.82500000001</v>
      </c>
      <c r="BD17" s="7">
        <v>259340.63256</v>
      </c>
      <c r="BE17" s="7">
        <v>248872.68661</v>
      </c>
      <c r="BF17" s="7">
        <v>233215.39958999999</v>
      </c>
      <c r="BG17" s="7">
        <v>279634.38153000001</v>
      </c>
      <c r="BH17" s="7">
        <v>264225.30654999998</v>
      </c>
      <c r="BI17" s="7">
        <v>285441.27182000037</v>
      </c>
      <c r="BJ17" s="7">
        <v>247918.82699999999</v>
      </c>
      <c r="BK17" s="7">
        <v>267424.80100000004</v>
      </c>
      <c r="BL17" s="7">
        <v>254463.56499999994</v>
      </c>
      <c r="BM17" s="7">
        <v>301651.66800000006</v>
      </c>
      <c r="BN17" s="7">
        <f>'1'!S23-'1'!R23</f>
        <v>249240.12800000003</v>
      </c>
      <c r="BO17" s="7">
        <f>'1'!T23-'1'!S23</f>
        <v>248464.01099999994</v>
      </c>
      <c r="BP17" s="7">
        <f>'1'!U23-'1'!T23</f>
        <v>281245.3629999999</v>
      </c>
      <c r="BQ17" s="7">
        <f>'1'!V23-'1'!U23</f>
        <v>245564.57700000005</v>
      </c>
      <c r="BR17" s="7">
        <f>'1'!W23-'1'!V23</f>
        <v>271367.50100000016</v>
      </c>
      <c r="BS17" s="7">
        <f>'1'!X23-'1'!W23</f>
        <v>300856.14099999983</v>
      </c>
      <c r="BT17" s="7">
        <f>'1'!Y23-'1'!X23</f>
        <v>267252.40200000023</v>
      </c>
      <c r="BU17" s="7">
        <f>'1'!Z23-'1'!Y23</f>
        <v>324466.64099999983</v>
      </c>
      <c r="BV17" s="7">
        <v>278787.94300000003</v>
      </c>
      <c r="BW17" s="7">
        <f>'1'!AC23-'1'!AB23</f>
        <v>271969.78899999993</v>
      </c>
      <c r="BX17" s="7">
        <f>'1'!AD23-'1'!AC23</f>
        <v>314497.56900000002</v>
      </c>
      <c r="BY17" s="7">
        <f>'1'!AE23-'1'!AD23</f>
        <v>321036.95699999994</v>
      </c>
      <c r="BZ17" s="7">
        <f>'1'!AF23-'1'!AE23</f>
        <v>284341.11499999999</v>
      </c>
      <c r="CA17" s="7">
        <f>'1'!AG23-'1'!AF23</f>
        <v>336230.62700000009</v>
      </c>
      <c r="CB17" s="7">
        <f>'1'!AH23-'1'!AG23</f>
        <v>301455.82200000016</v>
      </c>
      <c r="CC17" s="7">
        <f>'1'!AI23-'1'!AH23</f>
        <v>272790.75499999989</v>
      </c>
      <c r="CD17" s="7">
        <f>'1'!AJ23-'1'!AI23</f>
        <v>313384.89600000018</v>
      </c>
      <c r="CE17" s="7">
        <f>'1'!AK23-'1'!AJ23</f>
        <v>282786.3049999997</v>
      </c>
      <c r="CF17" s="7">
        <f>'1'!AL23-'1'!AK23</f>
        <v>303967.76500000013</v>
      </c>
      <c r="CG17" s="7">
        <f>'1'!AM23-'1'!AL23</f>
        <v>340668.03299999982</v>
      </c>
      <c r="CH17" s="7">
        <v>325766.77799999999</v>
      </c>
      <c r="CI17" s="7">
        <f>'1'!AP23-'1'!AO23</f>
        <v>373066.00799999997</v>
      </c>
      <c r="CJ17" s="7">
        <f>'1'!AQ23-'1'!AP23</f>
        <v>691027.12300000002</v>
      </c>
      <c r="CK17" s="7">
        <f>'1'!AR23-'1'!AQ23</f>
        <v>543255.52499999991</v>
      </c>
      <c r="CL17" s="7">
        <f>'1'!AS23-'1'!AR23</f>
        <v>380064.35900000017</v>
      </c>
      <c r="CM17" s="7">
        <f>'1'!AT23-'1'!AS23</f>
        <v>460335.25999999978</v>
      </c>
      <c r="CN17" s="7">
        <f>'1'!AU23-'1'!AT23</f>
        <v>361624.24100000039</v>
      </c>
      <c r="CO17" s="7">
        <f>'1'!AV23-'1'!AU23</f>
        <v>336742.63299999991</v>
      </c>
      <c r="CP17" s="7">
        <f>'1'!AW23-'1'!AV23</f>
        <v>310652.52799999993</v>
      </c>
      <c r="CQ17" s="7">
        <f>'1'!AX23-'1'!AW23</f>
        <v>299008.49200000009</v>
      </c>
      <c r="CR17" s="7">
        <f>'1'!AY23-'1'!AX23</f>
        <v>341927.34299999988</v>
      </c>
      <c r="CS17" s="7">
        <f>'1'!AZ23-'1'!AY23</f>
        <v>382962.18499999959</v>
      </c>
      <c r="CT17" s="7">
        <v>383509.62199999997</v>
      </c>
      <c r="CU17" s="7">
        <f>'1'!BC23-'1'!BB23</f>
        <v>409089.11900000006</v>
      </c>
      <c r="CV17" s="7">
        <f>'1'!BD23-'1'!BC23</f>
        <v>425394.52399999986</v>
      </c>
      <c r="CW17" s="7">
        <f>'1'!BE23-'1'!BD23</f>
        <v>392281.60600000015</v>
      </c>
      <c r="CX17" s="7">
        <f>'1'!BF23-'1'!BE23</f>
        <v>350314.45799999987</v>
      </c>
      <c r="CY17" s="7">
        <f>'1'!BG23-'1'!BF23</f>
        <v>282807.79799999995</v>
      </c>
      <c r="CZ17" s="7">
        <f>'1'!BH23-'1'!BG23</f>
        <v>307210.17800000031</v>
      </c>
      <c r="DA17" s="7">
        <f>'1'!BI23-'1'!BH23</f>
        <v>360252.87299999967</v>
      </c>
      <c r="DB17" s="7">
        <f>'1'!BJ23-'1'!BI23</f>
        <v>430828.49399999995</v>
      </c>
      <c r="DC17" s="7">
        <f>'1'!BK23-'1'!BJ23</f>
        <v>366382.50300000003</v>
      </c>
      <c r="DD17" s="7">
        <f>'1'!BL23-'1'!BK23</f>
        <v>432145.89400000032</v>
      </c>
      <c r="DE17" s="7">
        <f>'1'!BM23-'1'!BL23</f>
        <v>383409.19599999953</v>
      </c>
      <c r="DF17" s="7">
        <v>432302.489</v>
      </c>
      <c r="DG17" s="115">
        <f>'1'!BP23-'1'!BO23</f>
        <v>407204.36799999996</v>
      </c>
      <c r="DH17" s="115">
        <f>'1'!BQ23-'1'!BP23</f>
        <v>417870.09900000005</v>
      </c>
      <c r="DI17" s="115">
        <f>'1'!BR23-'1'!BQ23</f>
        <v>418779.90299999993</v>
      </c>
      <c r="DJ17" s="115">
        <f>'1'!BS23-'1'!BR23</f>
        <v>377391.91599999997</v>
      </c>
      <c r="DK17" s="115">
        <f>'1'!BT23-'1'!BS23</f>
        <v>394419.79700000025</v>
      </c>
      <c r="DL17" s="115">
        <f>'1'!BU23-'1'!BT23</f>
        <v>353261.48999999976</v>
      </c>
      <c r="DM17" s="115">
        <f>'1'!BV23-'1'!BU23</f>
        <v>420584.63200000022</v>
      </c>
      <c r="DN17" s="115">
        <f>'1'!BW23-'1'!BV23</f>
        <v>361264.73399999971</v>
      </c>
      <c r="DO17" s="115">
        <f>'1'!BX23-'1'!BW23</f>
        <v>447415.49100000039</v>
      </c>
      <c r="DP17" s="115">
        <f>'1'!BY23-'1'!BX23</f>
        <v>416534.52100000018</v>
      </c>
      <c r="DQ17" s="115">
        <f>'1'!BZ23-'1'!BY23</f>
        <v>385554.75399999972</v>
      </c>
      <c r="DR17" s="115">
        <v>456505.84</v>
      </c>
      <c r="DS17" s="115">
        <f>'1'!CC23-'1'!CB23</f>
        <v>425000.43099999992</v>
      </c>
      <c r="DT17" s="115">
        <f>'1'!CD23-'1'!CC23</f>
        <v>397740.48900000006</v>
      </c>
      <c r="DU17" s="115">
        <f>'1'!CE23-'1'!CD23</f>
        <v>454898.11800000002</v>
      </c>
      <c r="DV17" s="115">
        <f>'1'!CF23-'1'!CE23</f>
        <v>418943.79799999995</v>
      </c>
      <c r="DW17" s="115">
        <f>'1'!CG23-'1'!CF23</f>
        <v>415298.07899999991</v>
      </c>
      <c r="DX17" s="115">
        <f>'1'!CH23-'1'!CG23</f>
        <v>439503.91000000015</v>
      </c>
      <c r="DY17" s="115">
        <f>'1'!CI23-'1'!CH23</f>
        <v>414533.56999999983</v>
      </c>
      <c r="DZ17" s="115">
        <f>'1'!CJ23-'1'!CI23</f>
        <v>422487.91200000001</v>
      </c>
      <c r="EA17" s="115">
        <f>'1'!CK23-'1'!CJ23</f>
        <v>467974.06799999997</v>
      </c>
      <c r="EB17" s="115">
        <f>'1'!CL23-'1'!CK23</f>
        <v>443993.65100000054</v>
      </c>
      <c r="EC17" s="115">
        <f>'1'!CM23-'1'!CL23</f>
        <v>450460.79399999976</v>
      </c>
      <c r="ED17" s="115">
        <f>'1'!CO23</f>
        <v>474908.63199999998</v>
      </c>
      <c r="EE17" s="115">
        <f>'1'!CP23-'1'!CO23</f>
        <v>458548.06200000003</v>
      </c>
      <c r="EF17" s="115">
        <f>'1'!CQ23-'1'!CP23</f>
        <v>460593.58500000008</v>
      </c>
      <c r="EG17" s="115">
        <f>'1'!CR23-'1'!CQ23</f>
        <v>526546.42099999986</v>
      </c>
      <c r="EH17" s="115">
        <f>'1'!CS23-'1'!CR23</f>
        <v>388672.34999999986</v>
      </c>
      <c r="EI17" s="115">
        <f>'1'!CT23-'1'!CS23</f>
        <v>447966.79900000012</v>
      </c>
      <c r="EJ17" s="115">
        <f>'1'!CU23-'1'!CT23</f>
        <v>454646.2200000002</v>
      </c>
      <c r="EK17" s="115">
        <f>'1'!CV23-'1'!CU23</f>
        <v>445640.96999999974</v>
      </c>
      <c r="EL17" s="115">
        <f>'1'!CW23-'1'!CV23</f>
        <v>472549.26399999997</v>
      </c>
      <c r="EM17" s="115">
        <f>'1'!CX23-'1'!CW23</f>
        <v>481572.74500000058</v>
      </c>
      <c r="EN17" s="115">
        <f>'1'!CY23-'1'!CX23</f>
        <v>478021.58899999969</v>
      </c>
      <c r="EO17" s="115">
        <f>'1'!CZ23-'1'!CY23</f>
        <v>541897.44400000013</v>
      </c>
      <c r="EP17" s="115">
        <f>'1'!DB23</f>
        <v>436119.28700000001</v>
      </c>
      <c r="EQ17" s="115">
        <f>'1'!DC23-'1'!DB23</f>
        <v>498059.83299999998</v>
      </c>
      <c r="ER17" s="115">
        <f>'1'!DD23-'1'!DC23</f>
        <v>517268.28299999994</v>
      </c>
      <c r="ES17" s="115">
        <f>'1'!DE23-'1'!DD23</f>
        <v>566230.53200000012</v>
      </c>
      <c r="ET17" s="115">
        <f>'1'!DF23-'1'!DE23</f>
        <v>438786.804</v>
      </c>
      <c r="EU17" s="115">
        <f>'1'!DG23-'1'!DF23</f>
        <v>504639.41800000006</v>
      </c>
      <c r="EV17" s="115">
        <f>'1'!DH23-'1'!DG23</f>
        <v>498082.66599999974</v>
      </c>
      <c r="EW17" s="218"/>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row>
    <row r="18" spans="1:185" s="50" customFormat="1" ht="15" customHeight="1">
      <c r="A18" s="19" t="s">
        <v>13</v>
      </c>
      <c r="B18" s="20">
        <v>43465.008999999998</v>
      </c>
      <c r="C18" s="20">
        <v>29607.38436</v>
      </c>
      <c r="D18" s="20">
        <v>34744.840000000004</v>
      </c>
      <c r="E18" s="20">
        <v>48932.805259999994</v>
      </c>
      <c r="F18" s="20">
        <v>47442.714999999997</v>
      </c>
      <c r="G18" s="20">
        <v>69077.546000000002</v>
      </c>
      <c r="H18" s="20">
        <v>83403.925000000003</v>
      </c>
      <c r="I18" s="20">
        <v>91518.590689999997</v>
      </c>
      <c r="J18" s="20">
        <v>83510.10725999999</v>
      </c>
      <c r="K18" s="20">
        <v>99295.773710000023</v>
      </c>
      <c r="L18" s="20">
        <v>87873.866220000011</v>
      </c>
      <c r="M18" s="20">
        <v>158447.14445000002</v>
      </c>
      <c r="N18" s="20">
        <v>47977.480330000013</v>
      </c>
      <c r="O18" s="20">
        <v>39101.238149999997</v>
      </c>
      <c r="P18" s="20">
        <v>40802.969009999993</v>
      </c>
      <c r="Q18" s="20">
        <v>42235.180150000007</v>
      </c>
      <c r="R18" s="20">
        <v>66202.837350000016</v>
      </c>
      <c r="S18" s="20">
        <v>73096.39224999999</v>
      </c>
      <c r="T18" s="20">
        <v>88784.906529999993</v>
      </c>
      <c r="U18" s="20">
        <v>93828.224109999952</v>
      </c>
      <c r="V18" s="20">
        <v>73151.567490000001</v>
      </c>
      <c r="W18" s="20">
        <v>81875.050909999976</v>
      </c>
      <c r="X18" s="20">
        <v>95186.287429999953</v>
      </c>
      <c r="Y18" s="20">
        <v>177666.2068000001</v>
      </c>
      <c r="Z18" s="21">
        <v>28427.809060000011</v>
      </c>
      <c r="AA18" s="21">
        <v>23211.633309999997</v>
      </c>
      <c r="AB18" s="21">
        <v>21914.907500000001</v>
      </c>
      <c r="AC18" s="21">
        <v>24169.285149999992</v>
      </c>
      <c r="AD18" s="21">
        <v>37945.398280000001</v>
      </c>
      <c r="AE18" s="21">
        <v>45423.976029999998</v>
      </c>
      <c r="AF18" s="21">
        <v>59485.652499999975</v>
      </c>
      <c r="AG18" s="21">
        <v>77521.69938999998</v>
      </c>
      <c r="AH18" s="7">
        <v>69063.108530000041</v>
      </c>
      <c r="AI18" s="7">
        <v>91155.102330000009</v>
      </c>
      <c r="AJ18" s="7">
        <v>75462.638379999989</v>
      </c>
      <c r="AK18" s="7">
        <v>109755.66872</v>
      </c>
      <c r="AL18" s="7">
        <v>31627.995390000004</v>
      </c>
      <c r="AM18" s="7">
        <v>35160.939649999986</v>
      </c>
      <c r="AN18" s="7">
        <v>37115.269720000004</v>
      </c>
      <c r="AO18" s="7">
        <v>38477.683260000005</v>
      </c>
      <c r="AP18" s="7">
        <v>57173.339599999999</v>
      </c>
      <c r="AQ18" s="7">
        <v>69660.312020000012</v>
      </c>
      <c r="AR18" s="7">
        <v>78778.378509999995</v>
      </c>
      <c r="AS18" s="7">
        <v>107832.31701999999</v>
      </c>
      <c r="AT18" s="7">
        <v>104101.52897999999</v>
      </c>
      <c r="AU18" s="7">
        <v>97207.502179999967</v>
      </c>
      <c r="AV18" s="7">
        <v>110816.33928000001</v>
      </c>
      <c r="AW18" s="7">
        <v>189083.32725999999</v>
      </c>
      <c r="AX18" s="7">
        <v>40550.5265</v>
      </c>
      <c r="AY18" s="7">
        <v>41528.16476</v>
      </c>
      <c r="AZ18" s="7">
        <v>47527.8586</v>
      </c>
      <c r="BA18" s="7">
        <v>45853.491049999997</v>
      </c>
      <c r="BB18" s="7">
        <v>60093.258479999997</v>
      </c>
      <c r="BC18" s="7">
        <v>97688.698999999993</v>
      </c>
      <c r="BD18" s="7">
        <v>104653.32756999999</v>
      </c>
      <c r="BE18" s="7">
        <v>123392.85273</v>
      </c>
      <c r="BF18" s="7">
        <v>126680.16413</v>
      </c>
      <c r="BG18" s="7">
        <v>118035.66747</v>
      </c>
      <c r="BH18" s="7">
        <v>145651.59528000001</v>
      </c>
      <c r="BI18" s="7">
        <v>236434.36842999991</v>
      </c>
      <c r="BJ18" s="7">
        <v>75218.922999999995</v>
      </c>
      <c r="BK18" s="7">
        <v>46450.17</v>
      </c>
      <c r="BL18" s="7">
        <v>52541.456000000006</v>
      </c>
      <c r="BM18" s="7">
        <v>56729.660999999993</v>
      </c>
      <c r="BN18" s="7">
        <f>'1'!S24-'1'!R24</f>
        <v>83206.69200000001</v>
      </c>
      <c r="BO18" s="7">
        <f>'1'!T24-'1'!S24</f>
        <v>92374.097999999998</v>
      </c>
      <c r="BP18" s="7">
        <f>'1'!U24-'1'!T24</f>
        <v>117715.21000000002</v>
      </c>
      <c r="BQ18" s="7">
        <f>'1'!V24-'1'!U24</f>
        <v>127262.91600000003</v>
      </c>
      <c r="BR18" s="7">
        <f>'1'!W24-'1'!V24</f>
        <v>119130.04799999995</v>
      </c>
      <c r="BS18" s="7">
        <f>'1'!X24-'1'!W24</f>
        <v>107210.70999999996</v>
      </c>
      <c r="BT18" s="7">
        <f>'1'!Y24-'1'!X24</f>
        <v>112444.76000000001</v>
      </c>
      <c r="BU18" s="7">
        <f>'1'!Z24-'1'!Y24</f>
        <v>219093.21499999997</v>
      </c>
      <c r="BV18" s="7">
        <v>86589.232999999993</v>
      </c>
      <c r="BW18" s="7">
        <f>'1'!AC24-'1'!AB24</f>
        <v>44551.968000000008</v>
      </c>
      <c r="BX18" s="7">
        <f>'1'!AD24-'1'!AC24</f>
        <v>51862.646000000008</v>
      </c>
      <c r="BY18" s="7">
        <f>'1'!AE24-'1'!AD24</f>
        <v>62854.357999999978</v>
      </c>
      <c r="BZ18" s="7">
        <f>'1'!AF24-'1'!AE24</f>
        <v>63290.481999999989</v>
      </c>
      <c r="CA18" s="7">
        <f>'1'!AG24-'1'!AF24</f>
        <v>77273.313000000024</v>
      </c>
      <c r="CB18" s="7">
        <f>'1'!AH24-'1'!AG24</f>
        <v>110660.984</v>
      </c>
      <c r="CC18" s="7">
        <f>'1'!AI24-'1'!AH24</f>
        <v>96403.25900000002</v>
      </c>
      <c r="CD18" s="7">
        <f>'1'!AJ24-'1'!AI24</f>
        <v>124335.16200000001</v>
      </c>
      <c r="CE18" s="7">
        <f>'1'!AK24-'1'!AJ24</f>
        <v>146092.98100000003</v>
      </c>
      <c r="CF18" s="7">
        <f>'1'!AL24-'1'!AK24</f>
        <v>119349.55799999996</v>
      </c>
      <c r="CG18" s="7">
        <f>'1'!AM24-'1'!AL24</f>
        <v>268640.86099999992</v>
      </c>
      <c r="CH18" s="7">
        <v>54096.24</v>
      </c>
      <c r="CI18" s="7">
        <f>'1'!AP24-'1'!AO24</f>
        <v>56503.29</v>
      </c>
      <c r="CJ18" s="7">
        <f>'1'!AQ24-'1'!AP24</f>
        <v>49265.752999999997</v>
      </c>
      <c r="CK18" s="7">
        <f>'1'!AR24-'1'!AQ24</f>
        <v>57025.108000000007</v>
      </c>
      <c r="CL18" s="7">
        <f>'1'!AS24-'1'!AR24</f>
        <v>66027.326000000001</v>
      </c>
      <c r="CM18" s="7">
        <f>'1'!AT24-'1'!AS24</f>
        <v>87985.222000000009</v>
      </c>
      <c r="CN18" s="7">
        <f>'1'!AU24-'1'!AT24</f>
        <v>123208.28700000001</v>
      </c>
      <c r="CO18" s="7">
        <f>'1'!AV24-'1'!AU24</f>
        <v>117426.38599999994</v>
      </c>
      <c r="CP18" s="7">
        <f>'1'!AW24-'1'!AV24</f>
        <v>121923.73200000008</v>
      </c>
      <c r="CQ18" s="7">
        <f>'1'!AX24-'1'!AW24</f>
        <v>113314.15499999991</v>
      </c>
      <c r="CR18" s="7">
        <f>'1'!AY24-'1'!AX24</f>
        <v>140051.9850000001</v>
      </c>
      <c r="CS18" s="7">
        <f>'1'!AZ24-'1'!AY24</f>
        <v>280752.76899999997</v>
      </c>
      <c r="CT18" s="7">
        <v>43658.836000000003</v>
      </c>
      <c r="CU18" s="7">
        <f>'1'!BC24-'1'!BB24</f>
        <v>42065.999000000003</v>
      </c>
      <c r="CV18" s="7">
        <f>'1'!BD24-'1'!BC24</f>
        <v>62690.039999999994</v>
      </c>
      <c r="CW18" s="7">
        <f>'1'!BE24-'1'!BD24</f>
        <v>58453.954999999987</v>
      </c>
      <c r="CX18" s="7">
        <f>'1'!BF24-'1'!BE24</f>
        <v>59470.901000000042</v>
      </c>
      <c r="CY18" s="7">
        <f>'1'!BG24-'1'!BF24</f>
        <v>92907.078999999969</v>
      </c>
      <c r="CZ18" s="7">
        <f>'1'!BH24-'1'!BG24</f>
        <v>98303.973999999987</v>
      </c>
      <c r="DA18" s="7">
        <f>'1'!BI24-'1'!BH24</f>
        <v>120848.58900000004</v>
      </c>
      <c r="DB18" s="7">
        <f>'1'!BJ24-'1'!BI24</f>
        <v>121081.821</v>
      </c>
      <c r="DC18" s="7">
        <f>'1'!BK24-'1'!BJ24</f>
        <v>129618.02099999995</v>
      </c>
      <c r="DD18" s="7">
        <f>'1'!BL24-'1'!BK24</f>
        <v>134726.69300000009</v>
      </c>
      <c r="DE18" s="7">
        <f>'1'!BM24-'1'!BL24</f>
        <v>316554.04899999988</v>
      </c>
      <c r="DF18" s="7">
        <v>80587.486999999994</v>
      </c>
      <c r="DG18" s="115">
        <f>'1'!BP24-'1'!BO24</f>
        <v>49589.114000000001</v>
      </c>
      <c r="DH18" s="115">
        <f>'1'!BQ24-'1'!BP24</f>
        <v>62456.088000000018</v>
      </c>
      <c r="DI18" s="115">
        <f>'1'!BR24-'1'!BQ24</f>
        <v>85455.892999999982</v>
      </c>
      <c r="DJ18" s="115">
        <f>'1'!BS24-'1'!BR24</f>
        <v>81711.911000000022</v>
      </c>
      <c r="DK18" s="115">
        <f>'1'!BT24-'1'!BS24</f>
        <v>124719.62299999996</v>
      </c>
      <c r="DL18" s="115">
        <f>'1'!BU24-'1'!BT24</f>
        <v>106856.36599999998</v>
      </c>
      <c r="DM18" s="115">
        <f>'1'!BV24-'1'!BU24</f>
        <v>134463.66600000008</v>
      </c>
      <c r="DN18" s="115">
        <f>'1'!BW24-'1'!BV24</f>
        <v>116044.13099999994</v>
      </c>
      <c r="DO18" s="115">
        <f>'1'!BX24-'1'!BW24</f>
        <v>130088.89100000006</v>
      </c>
      <c r="DP18" s="115">
        <f>'1'!BY24-'1'!BX24</f>
        <v>116129.07799999986</v>
      </c>
      <c r="DQ18" s="115">
        <f>'1'!BZ24-'1'!BY24</f>
        <v>368167.37600000016</v>
      </c>
      <c r="DR18" s="115">
        <v>65372.525999999998</v>
      </c>
      <c r="DS18" s="115">
        <f>'1'!CC24-'1'!CB24</f>
        <v>187115.83000000002</v>
      </c>
      <c r="DT18" s="115">
        <f>'1'!CD24-'1'!CC24</f>
        <v>45996.530999999988</v>
      </c>
      <c r="DU18" s="115">
        <f>'1'!CE24-'1'!CD24</f>
        <v>89184.071999999986</v>
      </c>
      <c r="DV18" s="115">
        <f>'1'!CF24-'1'!CE24</f>
        <v>81826.278000000049</v>
      </c>
      <c r="DW18" s="115">
        <f>'1'!CG24-'1'!CF24</f>
        <v>90439.352000000014</v>
      </c>
      <c r="DX18" s="115">
        <f>'1'!CH24-'1'!CG24</f>
        <v>124616.81799999997</v>
      </c>
      <c r="DY18" s="115">
        <f>'1'!CI24-'1'!CH24</f>
        <v>125442.995</v>
      </c>
      <c r="DZ18" s="115">
        <f>'1'!CJ24-'1'!CI24</f>
        <v>131045.85400000005</v>
      </c>
      <c r="EA18" s="115">
        <f>'1'!CK24-'1'!CJ24</f>
        <v>166391.81700000004</v>
      </c>
      <c r="EB18" s="115">
        <f>'1'!CL24-'1'!CK24</f>
        <v>145371.6939999999</v>
      </c>
      <c r="EC18" s="115">
        <f>'1'!CM24-'1'!CL24</f>
        <v>297135.89899999998</v>
      </c>
      <c r="ED18" s="115">
        <f>'1'!CO24</f>
        <v>95708.82</v>
      </c>
      <c r="EE18" s="115">
        <f>'1'!CP24-'1'!CO24</f>
        <v>81557.924999999988</v>
      </c>
      <c r="EF18" s="115">
        <f>'1'!CQ24-'1'!CP24</f>
        <v>152875.50400000002</v>
      </c>
      <c r="EG18" s="115">
        <f>'1'!CR24-'1'!CQ24</f>
        <v>125464.08299999998</v>
      </c>
      <c r="EH18" s="115">
        <f>'1'!CS24-'1'!CR24</f>
        <v>113154.82300000003</v>
      </c>
      <c r="EI18" s="115">
        <f>'1'!CT24-'1'!CS24</f>
        <v>167306.04200000002</v>
      </c>
      <c r="EJ18" s="115">
        <f>'1'!CU24-'1'!CT24</f>
        <v>151159.32999999996</v>
      </c>
      <c r="EK18" s="115">
        <f>'1'!CV24-'1'!CU24</f>
        <v>144271.424</v>
      </c>
      <c r="EL18" s="115">
        <f>'1'!CW24-'1'!CV24</f>
        <v>176397.80200000003</v>
      </c>
      <c r="EM18" s="115">
        <f>'1'!CX24-'1'!CW24</f>
        <v>172191.47699999996</v>
      </c>
      <c r="EN18" s="115">
        <f>'1'!CY24-'1'!CX24</f>
        <v>155915.36400000006</v>
      </c>
      <c r="EO18" s="115">
        <f>'1'!CZ24-'1'!CY24</f>
        <v>361607.28799999994</v>
      </c>
      <c r="EP18" s="115">
        <f>'1'!DB24</f>
        <v>178541.56700000001</v>
      </c>
      <c r="EQ18" s="115">
        <f>'1'!DC24-'1'!DB24</f>
        <v>160460.55899999998</v>
      </c>
      <c r="ER18" s="115">
        <f>'1'!DD24-'1'!DC24</f>
        <v>187274.69800000003</v>
      </c>
      <c r="ES18" s="115">
        <f>'1'!DE24-'1'!DD24</f>
        <v>79176.493999999948</v>
      </c>
      <c r="ET18" s="115">
        <f>'1'!DF24-'1'!DE24</f>
        <v>147243.52800000005</v>
      </c>
      <c r="EU18" s="115">
        <f>'1'!DG24-'1'!DF24</f>
        <v>165212.95400000003</v>
      </c>
      <c r="EV18" s="115">
        <f>'1'!DH24-'1'!DG24</f>
        <v>182516.66999999993</v>
      </c>
      <c r="EW18" s="218"/>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row>
    <row r="19" spans="1:185" s="50" customFormat="1" ht="15" customHeight="1">
      <c r="A19" s="6" t="s">
        <v>198</v>
      </c>
      <c r="B19" s="20">
        <v>36000</v>
      </c>
      <c r="C19" s="20">
        <v>55800</v>
      </c>
      <c r="D19" s="20">
        <v>23200</v>
      </c>
      <c r="E19" s="20">
        <v>22700</v>
      </c>
      <c r="F19" s="20">
        <v>24300</v>
      </c>
      <c r="G19" s="20">
        <v>26700</v>
      </c>
      <c r="H19" s="20">
        <v>17600</v>
      </c>
      <c r="I19" s="20">
        <v>14800</v>
      </c>
      <c r="J19" s="20">
        <v>11300</v>
      </c>
      <c r="K19" s="20">
        <v>14600</v>
      </c>
      <c r="L19" s="20">
        <v>25000</v>
      </c>
      <c r="M19" s="20">
        <v>54700</v>
      </c>
      <c r="N19" s="20">
        <v>27100</v>
      </c>
      <c r="O19" s="20">
        <v>57100</v>
      </c>
      <c r="P19" s="20">
        <v>26600</v>
      </c>
      <c r="Q19" s="20">
        <v>24100</v>
      </c>
      <c r="R19" s="20">
        <v>24900</v>
      </c>
      <c r="S19" s="20">
        <v>20900</v>
      </c>
      <c r="T19" s="20">
        <v>12800</v>
      </c>
      <c r="U19" s="20">
        <v>18043.997910000002</v>
      </c>
      <c r="V19" s="20">
        <v>13905.972810000001</v>
      </c>
      <c r="W19" s="20">
        <v>21314.991300000002</v>
      </c>
      <c r="X19" s="20">
        <v>8660.9248000000007</v>
      </c>
      <c r="Y19" s="20">
        <v>29593.855870000003</v>
      </c>
      <c r="Z19" s="21">
        <v>11188.92864</v>
      </c>
      <c r="AA19" s="21">
        <v>48097.731729999992</v>
      </c>
      <c r="AB19" s="21">
        <v>22800.9326</v>
      </c>
      <c r="AC19" s="21">
        <v>13638.405649999997</v>
      </c>
      <c r="AD19" s="21">
        <v>18707.728730000003</v>
      </c>
      <c r="AE19" s="21">
        <v>12686.161550000001</v>
      </c>
      <c r="AF19" s="21">
        <v>24401.183809999999</v>
      </c>
      <c r="AG19" s="21">
        <v>21765.829550000002</v>
      </c>
      <c r="AH19" s="7">
        <v>23748.231670000001</v>
      </c>
      <c r="AI19" s="7">
        <v>24261.844479999996</v>
      </c>
      <c r="AJ19" s="7">
        <v>23213.671450000002</v>
      </c>
      <c r="AK19" s="7">
        <v>47085.692130000003</v>
      </c>
      <c r="AL19" s="7">
        <v>11446.042259999998</v>
      </c>
      <c r="AM19" s="7">
        <v>26502.192050000001</v>
      </c>
      <c r="AN19" s="7">
        <v>20506.977980000003</v>
      </c>
      <c r="AO19" s="7">
        <v>22554.496169999999</v>
      </c>
      <c r="AP19" s="7">
        <v>24217.6037</v>
      </c>
      <c r="AQ19" s="7">
        <v>21907.276510000003</v>
      </c>
      <c r="AR19" s="7">
        <v>23362.368210000001</v>
      </c>
      <c r="AS19" s="7">
        <v>14756.2634</v>
      </c>
      <c r="AT19" s="7">
        <v>22592.523399999998</v>
      </c>
      <c r="AU19" s="7">
        <v>21006.786390000001</v>
      </c>
      <c r="AV19" s="7">
        <v>24189.424660000001</v>
      </c>
      <c r="AW19" s="7">
        <v>24647.896820000002</v>
      </c>
      <c r="AX19" s="7">
        <v>9985.31646</v>
      </c>
      <c r="AY19" s="7">
        <v>40025.951670000002</v>
      </c>
      <c r="AZ19" s="7">
        <v>27916.164840000001</v>
      </c>
      <c r="BA19" s="7">
        <v>23488.347600000001</v>
      </c>
      <c r="BB19" s="7">
        <v>18715.537700000001</v>
      </c>
      <c r="BC19" s="7">
        <v>14662.305</v>
      </c>
      <c r="BD19" s="7">
        <v>26474.433430000001</v>
      </c>
      <c r="BE19" s="7">
        <v>24853.009480000001</v>
      </c>
      <c r="BF19" s="7">
        <v>24471.28829</v>
      </c>
      <c r="BG19" s="7">
        <v>26028.559959999999</v>
      </c>
      <c r="BH19" s="7">
        <v>27330.05586</v>
      </c>
      <c r="BI19" s="7">
        <v>43165.503709999961</v>
      </c>
      <c r="BJ19" s="7">
        <v>35699.135000000002</v>
      </c>
      <c r="BK19" s="7">
        <v>63996.018000000004</v>
      </c>
      <c r="BL19" s="7">
        <v>27208.23599999999</v>
      </c>
      <c r="BM19" s="7">
        <v>20339.505000000005</v>
      </c>
      <c r="BN19" s="7">
        <f>'1'!S25-'1'!R25</f>
        <v>18140.198000000004</v>
      </c>
      <c r="BO19" s="7">
        <f>'1'!T25-'1'!S25</f>
        <v>22422.907999999996</v>
      </c>
      <c r="BP19" s="7">
        <f>'1'!U25-'1'!T25</f>
        <v>32009.108000000007</v>
      </c>
      <c r="BQ19" s="7">
        <f>'1'!V25-'1'!U25</f>
        <v>28090.315999999992</v>
      </c>
      <c r="BR19" s="7">
        <f>'1'!W25-'1'!V25</f>
        <v>26153.425999999978</v>
      </c>
      <c r="BS19" s="7">
        <f>'1'!X25-'1'!W25</f>
        <v>28416.235000000044</v>
      </c>
      <c r="BT19" s="7">
        <f>'1'!Y25-'1'!X25</f>
        <v>18459.45299999998</v>
      </c>
      <c r="BU19" s="7">
        <f>'1'!Z25-'1'!Y25</f>
        <v>27637.537000000011</v>
      </c>
      <c r="BV19" s="7">
        <v>56210.752</v>
      </c>
      <c r="BW19" s="7">
        <f>'1'!AC25-'1'!AB25</f>
        <v>31891.720999999998</v>
      </c>
      <c r="BX19" s="7">
        <f>'1'!AD25-'1'!AC25</f>
        <v>19745.991000000009</v>
      </c>
      <c r="BY19" s="7">
        <f>'1'!AE25-'1'!AD25</f>
        <v>27834.560999999987</v>
      </c>
      <c r="BZ19" s="7">
        <f>'1'!AF25-'1'!AE25</f>
        <v>40123.90300000002</v>
      </c>
      <c r="CA19" s="7">
        <f>'1'!AG25-'1'!AF25</f>
        <v>21666.071999999986</v>
      </c>
      <c r="CB19" s="7">
        <f>'1'!AH25-'1'!AG25</f>
        <v>24172.722000000009</v>
      </c>
      <c r="CC19" s="7">
        <f>'1'!AI25-'1'!AH25</f>
        <v>15281.772999999986</v>
      </c>
      <c r="CD19" s="7">
        <f>'1'!AJ25-'1'!AI25</f>
        <v>23349.45199999999</v>
      </c>
      <c r="CE19" s="7">
        <f>'1'!AK25-'1'!AJ25</f>
        <v>33625.53899999999</v>
      </c>
      <c r="CF19" s="7">
        <f>'1'!AL25-'1'!AK25</f>
        <v>41780.070000000007</v>
      </c>
      <c r="CG19" s="7">
        <f>'1'!AM25-'1'!AL25</f>
        <v>34963.291000000027</v>
      </c>
      <c r="CH19" s="7">
        <v>54146.822999999997</v>
      </c>
      <c r="CI19" s="7">
        <f>'1'!AP25-'1'!AO25</f>
        <v>55973.46</v>
      </c>
      <c r="CJ19" s="7">
        <f>'1'!AQ25-'1'!AP25</f>
        <v>23743.217999999993</v>
      </c>
      <c r="CK19" s="7">
        <f>'1'!AR25-'1'!AQ25</f>
        <v>29576.149000000005</v>
      </c>
      <c r="CL19" s="7">
        <f>'1'!AS25-'1'!AR25</f>
        <v>28542.879000000015</v>
      </c>
      <c r="CM19" s="7">
        <f>'1'!AT25-'1'!AS25</f>
        <v>33751.956999999995</v>
      </c>
      <c r="CN19" s="7">
        <f>'1'!AU25-'1'!AT25</f>
        <v>20960.513999999996</v>
      </c>
      <c r="CO19" s="7">
        <f>'1'!AV25-'1'!AU25</f>
        <v>30781.717000000004</v>
      </c>
      <c r="CP19" s="7">
        <f>'1'!AW25-'1'!AV25</f>
        <v>35801.625999999989</v>
      </c>
      <c r="CQ19" s="7">
        <f>'1'!AX25-'1'!AW25</f>
        <v>36151.335000000021</v>
      </c>
      <c r="CR19" s="7">
        <f>'1'!AY25-'1'!AX25</f>
        <v>46903.290999999968</v>
      </c>
      <c r="CS19" s="7">
        <f>'1'!AZ25-'1'!AY25</f>
        <v>59860.027999999991</v>
      </c>
      <c r="CT19" s="7">
        <v>42271.527000000002</v>
      </c>
      <c r="CU19" s="7">
        <f>'1'!BC25-'1'!BB25</f>
        <v>45421.895999999993</v>
      </c>
      <c r="CV19" s="7">
        <f>'1'!BD25-'1'!BC25</f>
        <v>35377.368000000002</v>
      </c>
      <c r="CW19" s="7">
        <f>'1'!BE25-'1'!BD25</f>
        <v>36992.991000000009</v>
      </c>
      <c r="CX19" s="7">
        <f>'1'!BF25-'1'!BE25</f>
        <v>35157.217999999993</v>
      </c>
      <c r="CY19" s="7">
        <f>'1'!BG25-'1'!BF25</f>
        <v>36853.249000000011</v>
      </c>
      <c r="CZ19" s="7">
        <f>'1'!BH25-'1'!BG25</f>
        <v>38487.79800000001</v>
      </c>
      <c r="DA19" s="7">
        <f>'1'!BI25-'1'!BH25</f>
        <v>39923.762999999977</v>
      </c>
      <c r="DB19" s="7">
        <f>'1'!BJ25-'1'!BI25</f>
        <v>33186.56799999997</v>
      </c>
      <c r="DC19" s="7">
        <f>'1'!BK25-'1'!BJ25</f>
        <v>29453.349000000046</v>
      </c>
      <c r="DD19" s="7">
        <f>'1'!BL25-'1'!BK25</f>
        <v>35718.603000000003</v>
      </c>
      <c r="DE19" s="7">
        <f>'1'!BM25-'1'!BL25</f>
        <v>40886.688999999955</v>
      </c>
      <c r="DF19" s="7">
        <v>31501.550999999999</v>
      </c>
      <c r="DG19" s="115">
        <f>'1'!BP25-'1'!BO25</f>
        <v>42297.249000000003</v>
      </c>
      <c r="DH19" s="115">
        <f>'1'!BQ25-'1'!BP25</f>
        <v>32454.504000000001</v>
      </c>
      <c r="DI19" s="115">
        <f>'1'!BR25-'1'!BQ25</f>
        <v>33832.423999999999</v>
      </c>
      <c r="DJ19" s="115">
        <f>'1'!BS25-'1'!BR25</f>
        <v>30403.771999999997</v>
      </c>
      <c r="DK19" s="115">
        <f>'1'!BT25-'1'!BS25</f>
        <v>42986.394</v>
      </c>
      <c r="DL19" s="115">
        <f>'1'!BU25-'1'!BT25</f>
        <v>38769.372000000003</v>
      </c>
      <c r="DM19" s="115">
        <f>'1'!BV25-'1'!BU25</f>
        <v>31652.244999999995</v>
      </c>
      <c r="DN19" s="115">
        <f>'1'!BW25-'1'!BV25</f>
        <v>34473.744999999995</v>
      </c>
      <c r="DO19" s="115">
        <f>'1'!BX25-'1'!BW25</f>
        <v>36563.446999999986</v>
      </c>
      <c r="DP19" s="115">
        <f>'1'!BY25-'1'!BX25</f>
        <v>51771.688000000024</v>
      </c>
      <c r="DQ19" s="115">
        <f>'1'!BZ25-'1'!BY25</f>
        <v>84864.627999999968</v>
      </c>
      <c r="DR19" s="115">
        <v>33436.46</v>
      </c>
      <c r="DS19" s="115">
        <f>'1'!CC25-'1'!CB25</f>
        <v>36496.756000000001</v>
      </c>
      <c r="DT19" s="115">
        <f>'1'!CD25-'1'!CC25</f>
        <v>53370.572</v>
      </c>
      <c r="DU19" s="115">
        <f>'1'!CE25-'1'!CD25</f>
        <v>31923.318999999989</v>
      </c>
      <c r="DV19" s="115">
        <f>'1'!CF25-'1'!CE25</f>
        <v>31886.981</v>
      </c>
      <c r="DW19" s="115">
        <f>'1'!CG25-'1'!CF25</f>
        <v>42879.583000000013</v>
      </c>
      <c r="DX19" s="115">
        <f>'1'!CH25-'1'!CG25</f>
        <v>51525.65300000002</v>
      </c>
      <c r="DY19" s="115">
        <f>'1'!CI25-'1'!CH25</f>
        <v>33641.510999999999</v>
      </c>
      <c r="DZ19" s="115">
        <f>'1'!CJ25-'1'!CI25</f>
        <v>33542.256999999983</v>
      </c>
      <c r="EA19" s="115">
        <f>'1'!CK25-'1'!CJ25</f>
        <v>43566.243000000017</v>
      </c>
      <c r="EB19" s="115">
        <f>'1'!CL25-'1'!CK25</f>
        <v>42295.447999999975</v>
      </c>
      <c r="EC19" s="115">
        <f>'1'!CM25-'1'!CL25</f>
        <v>45053.276000000013</v>
      </c>
      <c r="ED19" s="115">
        <f>'1'!CO25</f>
        <v>42282.567000000003</v>
      </c>
      <c r="EE19" s="115">
        <f>'1'!CP25-'1'!CO25</f>
        <v>35291.124999999993</v>
      </c>
      <c r="EF19" s="115">
        <f>'1'!CQ25-'1'!CP25</f>
        <v>47773.794999999998</v>
      </c>
      <c r="EG19" s="115">
        <f>'1'!CR25-'1'!CQ25</f>
        <v>36980.418000000005</v>
      </c>
      <c r="EH19" s="115">
        <f>'1'!CS25-'1'!CR25</f>
        <v>41122.92300000001</v>
      </c>
      <c r="EI19" s="115">
        <f>'1'!CT25-'1'!CS25</f>
        <v>33627.663</v>
      </c>
      <c r="EJ19" s="115">
        <f>'1'!CU25-'1'!CT25</f>
        <v>36443.175000000017</v>
      </c>
      <c r="EK19" s="115">
        <f>'1'!CV25-'1'!CU25</f>
        <v>42067.512999999977</v>
      </c>
      <c r="EL19" s="115">
        <f>'1'!CW25-'1'!CV25</f>
        <v>45001.969999999972</v>
      </c>
      <c r="EM19" s="115">
        <f>'1'!CX25-'1'!CW25</f>
        <v>46835.383000000031</v>
      </c>
      <c r="EN19" s="115">
        <f>'1'!CY25-'1'!CX25</f>
        <v>30139.95199999999</v>
      </c>
      <c r="EO19" s="115">
        <f>'1'!CZ25-'1'!CY25</f>
        <v>92330.44</v>
      </c>
      <c r="EP19" s="115">
        <f>'1'!DB25</f>
        <v>56565.837</v>
      </c>
      <c r="EQ19" s="115">
        <f>'1'!DC25-'1'!DB25</f>
        <v>49135.739000000001</v>
      </c>
      <c r="ER19" s="115">
        <f>'1'!DD25-'1'!DC25</f>
        <v>26101.119000000006</v>
      </c>
      <c r="ES19" s="115">
        <f>'1'!DE25-'1'!DD25</f>
        <v>11567.753999999986</v>
      </c>
      <c r="ET19" s="115">
        <f>'1'!DF25-'1'!DE25</f>
        <v>12053.270000000019</v>
      </c>
      <c r="EU19" s="115">
        <f>'1'!DG25-'1'!DF25</f>
        <v>37181.61599999998</v>
      </c>
      <c r="EV19" s="115">
        <f>'1'!DH25-'1'!DG25</f>
        <v>55579.25</v>
      </c>
      <c r="EW19" s="218"/>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row>
    <row r="20" spans="1:185" s="49" customFormat="1" ht="15" customHeight="1">
      <c r="A20" s="22" t="s">
        <v>15</v>
      </c>
      <c r="B20" s="4">
        <f t="shared" ref="B20:M20" si="14">B21-B22</f>
        <v>64036.408440000145</v>
      </c>
      <c r="C20" s="4">
        <f t="shared" si="14"/>
        <v>-35769.753000000026</v>
      </c>
      <c r="D20" s="4">
        <f t="shared" si="14"/>
        <v>-79528.520599999931</v>
      </c>
      <c r="E20" s="4">
        <f t="shared" si="14"/>
        <v>-31617.244479999761</v>
      </c>
      <c r="F20" s="4">
        <f t="shared" si="14"/>
        <v>86436.632369999948</v>
      </c>
      <c r="G20" s="4">
        <f t="shared" si="14"/>
        <v>216042.11429000006</v>
      </c>
      <c r="H20" s="4">
        <f t="shared" si="14"/>
        <v>16349.067570000188</v>
      </c>
      <c r="I20" s="4">
        <f t="shared" si="14"/>
        <v>49425.088450000156</v>
      </c>
      <c r="J20" s="4">
        <f t="shared" si="14"/>
        <v>13523.391199999955</v>
      </c>
      <c r="K20" s="4">
        <f t="shared" si="14"/>
        <v>-63079.475259999977</v>
      </c>
      <c r="L20" s="4">
        <f t="shared" si="14"/>
        <v>-157382.01886999985</v>
      </c>
      <c r="M20" s="4">
        <f t="shared" si="14"/>
        <v>-391474.97858000023</v>
      </c>
      <c r="N20" s="4">
        <f t="shared" ref="N20:W20" si="15">N21-N22</f>
        <v>70449.853129999945</v>
      </c>
      <c r="O20" s="4">
        <f t="shared" si="15"/>
        <v>-96460.673860000214</v>
      </c>
      <c r="P20" s="4">
        <f t="shared" si="15"/>
        <v>-5069.5662799999118</v>
      </c>
      <c r="Q20" s="4">
        <f t="shared" si="15"/>
        <v>127440.67003000004</v>
      </c>
      <c r="R20" s="4">
        <f t="shared" si="15"/>
        <v>87297.660309999948</v>
      </c>
      <c r="S20" s="4">
        <f t="shared" si="15"/>
        <v>-21675.68452000001</v>
      </c>
      <c r="T20" s="4">
        <f t="shared" si="15"/>
        <v>-62919.733189999708</v>
      </c>
      <c r="U20" s="4">
        <f t="shared" si="15"/>
        <v>113059.39534000005</v>
      </c>
      <c r="V20" s="4">
        <f t="shared" si="15"/>
        <v>-71600.947970000037</v>
      </c>
      <c r="W20" s="4">
        <f t="shared" si="15"/>
        <v>39608.228429999785</v>
      </c>
      <c r="X20" s="4">
        <v>-107743.30939999991</v>
      </c>
      <c r="Y20" s="4">
        <v>-419185.10000000021</v>
      </c>
      <c r="Z20" s="15">
        <f>Z21-Z22</f>
        <v>62295.985499999952</v>
      </c>
      <c r="AA20" s="15">
        <v>20023.056839999743</v>
      </c>
      <c r="AB20" s="15">
        <v>-144579.23721000008</v>
      </c>
      <c r="AC20" s="15">
        <v>-24066.935029999935</v>
      </c>
      <c r="AD20" s="15">
        <v>137939.14317000017</v>
      </c>
      <c r="AE20" s="15">
        <v>6777.9869399997779</v>
      </c>
      <c r="AF20" s="15">
        <v>40634.22237000009</v>
      </c>
      <c r="AG20" s="15">
        <v>26350.472849999962</v>
      </c>
      <c r="AH20" s="4">
        <v>71424.619410000101</v>
      </c>
      <c r="AI20" s="4">
        <v>-66566.637389999873</v>
      </c>
      <c r="AJ20" s="4">
        <v>-111013.73395999997</v>
      </c>
      <c r="AK20" s="4">
        <v>-177836.01536000014</v>
      </c>
      <c r="AL20" s="4">
        <v>80257.203940000065</v>
      </c>
      <c r="AM20" s="4">
        <v>-949.29890999981126</v>
      </c>
      <c r="AN20" s="4">
        <v>-74652.602110000094</v>
      </c>
      <c r="AO20" s="4">
        <v>63031.546249999796</v>
      </c>
      <c r="AP20" s="4">
        <v>61574.096960000403</v>
      </c>
      <c r="AQ20" s="4">
        <v>579.95331999995869</v>
      </c>
      <c r="AR20" s="4">
        <v>-7004.8849999999447</v>
      </c>
      <c r="AS20" s="4">
        <v>71163.976260000476</v>
      </c>
      <c r="AT20" s="4">
        <v>15193.804259999866</v>
      </c>
      <c r="AU20" s="4">
        <v>-109065.37063999986</v>
      </c>
      <c r="AV20" s="4">
        <v>-130686.90646000039</v>
      </c>
      <c r="AW20" s="4">
        <v>-253652.10861</v>
      </c>
      <c r="AX20" s="4">
        <v>124577.75049999999</v>
      </c>
      <c r="AY20" s="4">
        <v>107017.03376000002</v>
      </c>
      <c r="AZ20" s="4">
        <v>-78152.191390000051</v>
      </c>
      <c r="BA20" s="4">
        <v>6639.1081700000213</v>
      </c>
      <c r="BB20" s="4">
        <v>263814.45750999998</v>
      </c>
      <c r="BC20" s="4">
        <v>-3972.8724899999797</v>
      </c>
      <c r="BD20" s="4">
        <v>214941.92835999804</v>
      </c>
      <c r="BE20" s="4">
        <v>49520.680679999059</v>
      </c>
      <c r="BF20" s="4">
        <v>-12344.02271000098</v>
      </c>
      <c r="BG20" s="4">
        <v>-169669.92488999898</v>
      </c>
      <c r="BH20" s="4">
        <v>-129564.28988999897</v>
      </c>
      <c r="BI20" s="4">
        <v>-437385.86360999837</v>
      </c>
      <c r="BJ20" s="4">
        <f>BJ21-BJ22</f>
        <v>103748.45899999992</v>
      </c>
      <c r="BK20" s="4">
        <f>BK21-BK22</f>
        <v>59065.628000000142</v>
      </c>
      <c r="BL20" s="4">
        <f>BL21-BL22</f>
        <v>-104310.76199999976</v>
      </c>
      <c r="BM20" s="4">
        <f>BM21-BM22</f>
        <v>72306.361999999732</v>
      </c>
      <c r="BN20" s="4">
        <f>'1'!S26-'1'!R26</f>
        <v>239490.31300000008</v>
      </c>
      <c r="BO20" s="4">
        <f>'1'!T26-'1'!S26</f>
        <v>192738</v>
      </c>
      <c r="BP20" s="4">
        <f>'1'!U26-'1'!T26</f>
        <v>-61957</v>
      </c>
      <c r="BQ20" s="4">
        <f>'1'!V26-'1'!U26</f>
        <v>-3319</v>
      </c>
      <c r="BR20" s="4">
        <f>'1'!W26-'1'!V26</f>
        <v>-89714</v>
      </c>
      <c r="BS20" s="4">
        <f>'1'!X26-'1'!W26</f>
        <v>-71514</v>
      </c>
      <c r="BT20" s="4">
        <f>'1'!Y26-'1'!X26</f>
        <v>-151013</v>
      </c>
      <c r="BU20" s="4">
        <f>'1'!Z26-'1'!Y26</f>
        <v>-353308</v>
      </c>
      <c r="BV20" s="4">
        <v>3073</v>
      </c>
      <c r="BW20" s="4">
        <f>'1'!AC26-'1'!AB26</f>
        <v>60375</v>
      </c>
      <c r="BX20" s="4">
        <f>'1'!AD26-'1'!AC26</f>
        <v>-135785</v>
      </c>
      <c r="BY20" s="4">
        <f>'1'!AE26-'1'!AD26</f>
        <v>-64094</v>
      </c>
      <c r="BZ20" s="4">
        <f>'1'!AF26-'1'!AE26</f>
        <v>69770</v>
      </c>
      <c r="CA20" s="4">
        <f>'1'!AG26-'1'!AF26</f>
        <v>-166094</v>
      </c>
      <c r="CB20" s="4">
        <f>'1'!AH26-'1'!AG26</f>
        <v>143945</v>
      </c>
      <c r="CC20" s="4">
        <f>'1'!AI26-'1'!AH26</f>
        <v>-61036</v>
      </c>
      <c r="CD20" s="4">
        <f>'1'!AJ26-'1'!AI26</f>
        <v>-131353</v>
      </c>
      <c r="CE20" s="4">
        <f>'1'!AK26-'1'!AJ26</f>
        <v>-217237</v>
      </c>
      <c r="CF20" s="4">
        <f>'1'!AL26-'1'!AK26</f>
        <v>-121851</v>
      </c>
      <c r="CG20" s="4">
        <f>'1'!AM26-'1'!AL26</f>
        <v>-489211</v>
      </c>
      <c r="CH20" s="4">
        <v>118315</v>
      </c>
      <c r="CI20" s="4">
        <f>'1'!AP26-'1'!AO26</f>
        <v>-125207</v>
      </c>
      <c r="CJ20" s="4">
        <f>'1'!AQ26-'1'!AP26</f>
        <v>-656163</v>
      </c>
      <c r="CK20" s="4">
        <f>'1'!AR26-'1'!AQ26</f>
        <v>-82699</v>
      </c>
      <c r="CL20" s="4">
        <f>'1'!AS26-'1'!AR26</f>
        <v>18060</v>
      </c>
      <c r="CM20" s="4">
        <f>'1'!AT26-'1'!AS26</f>
        <v>-269759</v>
      </c>
      <c r="CN20" s="4">
        <f>'1'!AU26-'1'!AT26</f>
        <v>94903</v>
      </c>
      <c r="CO20" s="4">
        <f>'1'!AV26-'1'!AU26</f>
        <v>4292</v>
      </c>
      <c r="CP20" s="4">
        <f>'1'!AW26-'1'!AV26</f>
        <v>132537</v>
      </c>
      <c r="CQ20" s="4">
        <f>'1'!AX26-'1'!AW26</f>
        <v>-228105</v>
      </c>
      <c r="CR20" s="4">
        <f>'1'!AY26-'1'!AX26</f>
        <v>-81367</v>
      </c>
      <c r="CS20" s="4">
        <f>'1'!AZ26-'1'!AY26</f>
        <v>-659038</v>
      </c>
      <c r="CT20" s="4">
        <v>111990</v>
      </c>
      <c r="CU20" s="4">
        <f>'1'!BC26-'1'!BB26</f>
        <v>-66010</v>
      </c>
      <c r="CV20" s="4">
        <f>'1'!BD26-'1'!BC26</f>
        <v>-327178</v>
      </c>
      <c r="CW20" s="4">
        <f>'1'!BE26-'1'!BD26</f>
        <v>34015</v>
      </c>
      <c r="CX20" s="4">
        <f>'1'!BF26-'1'!BE26</f>
        <v>-71270.987999999896</v>
      </c>
      <c r="CY20" s="4">
        <f>'1'!BG26-'1'!BF26</f>
        <v>-61422.717000000179</v>
      </c>
      <c r="CZ20" s="4">
        <f>'1'!BH26-'1'!BG26</f>
        <v>101871.70500000007</v>
      </c>
      <c r="DA20" s="4">
        <f>'1'!BI26-'1'!BH26</f>
        <v>83571</v>
      </c>
      <c r="DB20" s="4">
        <f>'1'!BJ26-'1'!BI26</f>
        <v>-357320</v>
      </c>
      <c r="DC20" s="4">
        <f>'1'!BK26-'1'!BJ26</f>
        <v>-244617</v>
      </c>
      <c r="DD20" s="4">
        <f>'1'!BL26-'1'!BK26</f>
        <v>-38840</v>
      </c>
      <c r="DE20" s="4">
        <f>'1'!BM26-'1'!BL26</f>
        <v>-678361</v>
      </c>
      <c r="DF20" s="4">
        <v>138560</v>
      </c>
      <c r="DG20" s="54">
        <f>'1'!BP26-'1'!BO26</f>
        <v>8752</v>
      </c>
      <c r="DH20" s="54">
        <f>'1'!BQ26-'1'!BP26</f>
        <v>-411380</v>
      </c>
      <c r="DI20" s="54">
        <f>'1'!BR26-'1'!BQ26</f>
        <v>48191</v>
      </c>
      <c r="DJ20" s="54">
        <f>'1'!BS26-'1'!BR26</f>
        <v>161151</v>
      </c>
      <c r="DK20" s="54">
        <f>'1'!BT26-'1'!BS26</f>
        <v>-154619</v>
      </c>
      <c r="DL20" s="54">
        <f>'1'!BU26-'1'!BT26</f>
        <v>210041</v>
      </c>
      <c r="DM20" s="54">
        <f>'1'!BV26-'1'!BU26</f>
        <v>-6109</v>
      </c>
      <c r="DN20" s="54">
        <f>'1'!BW26-'1'!BV26</f>
        <v>-1519</v>
      </c>
      <c r="DO20" s="54">
        <f>'1'!BX26-'1'!BW26</f>
        <v>-206805</v>
      </c>
      <c r="DP20" s="54">
        <f>'1'!BY26-'1'!BX26</f>
        <v>-93577</v>
      </c>
      <c r="DQ20" s="54">
        <f>'1'!BZ26-'1'!BY26</f>
        <v>-959600</v>
      </c>
      <c r="DR20" s="54">
        <v>166775</v>
      </c>
      <c r="DS20" s="54">
        <f>'1'!CC26-'1'!CB26</f>
        <v>-114082</v>
      </c>
      <c r="DT20" s="54">
        <f>'1'!CD26-'1'!CC26</f>
        <v>-78964</v>
      </c>
      <c r="DU20" s="54">
        <f>'1'!CE26-'1'!CD26</f>
        <v>-148989</v>
      </c>
      <c r="DV20" s="54">
        <f>'1'!CF26-'1'!CE26</f>
        <v>351268</v>
      </c>
      <c r="DW20" s="54">
        <f>'1'!CG26-'1'!CF26</f>
        <v>332343</v>
      </c>
      <c r="DX20" s="54">
        <f>'1'!CH26-'1'!CG26</f>
        <v>23396</v>
      </c>
      <c r="DY20" s="54">
        <f>'1'!CI26-'1'!CH26</f>
        <v>33439</v>
      </c>
      <c r="DZ20" s="54">
        <f>'1'!CJ26-'1'!CI26</f>
        <v>-67716</v>
      </c>
      <c r="EA20" s="54">
        <f>'1'!CK26-'1'!CJ26</f>
        <v>-301706</v>
      </c>
      <c r="EB20" s="54">
        <f>'1'!CL26-'1'!CK26</f>
        <v>-227385</v>
      </c>
      <c r="EC20" s="54">
        <f>'1'!CM26-'1'!CL26</f>
        <v>-653217</v>
      </c>
      <c r="ED20" s="54">
        <f>'1'!CO26</f>
        <v>-31811</v>
      </c>
      <c r="EE20" s="54">
        <f>'1'!CP26-'1'!CO26</f>
        <v>-140974</v>
      </c>
      <c r="EF20" s="54">
        <f>'1'!CQ26-'1'!CP26</f>
        <v>-482642</v>
      </c>
      <c r="EG20" s="54">
        <f>'1'!CR26-'1'!CQ26</f>
        <v>-240612</v>
      </c>
      <c r="EH20" s="54">
        <f>'1'!CS26-'1'!CR26</f>
        <v>355456</v>
      </c>
      <c r="EI20" s="54">
        <f>'1'!CT26-'1'!CS26</f>
        <v>156100</v>
      </c>
      <c r="EJ20" s="54">
        <f>'1'!CU26-'1'!CT26</f>
        <v>-97089</v>
      </c>
      <c r="EK20" s="54">
        <f>'1'!CV26-'1'!CU26</f>
        <v>158473</v>
      </c>
      <c r="EL20" s="54">
        <f>'1'!CW26-'1'!CV26</f>
        <v>-282555</v>
      </c>
      <c r="EM20" s="54">
        <f>'1'!CX26-'1'!CW26</f>
        <v>-290254</v>
      </c>
      <c r="EN20" s="54">
        <f>'1'!CY26-'1'!CX26</f>
        <v>-220827</v>
      </c>
      <c r="EO20" s="54">
        <f>'1'!CZ26-'1'!CY26</f>
        <v>-576751</v>
      </c>
      <c r="EP20" s="54">
        <f>'1'!DB26</f>
        <v>-72552</v>
      </c>
      <c r="EQ20" s="54">
        <f>'1'!DC26-'1'!DB26</f>
        <v>400342</v>
      </c>
      <c r="ER20" s="54">
        <f>'1'!DD26-'1'!DC26</f>
        <v>-434954</v>
      </c>
      <c r="ES20" s="54">
        <f>'1'!DE26-'1'!DD26</f>
        <v>-141633</v>
      </c>
      <c r="ET20" s="54">
        <f>'1'!DF26-'1'!DE26</f>
        <v>326711</v>
      </c>
      <c r="EU20" s="54">
        <f>'1'!DG26-'1'!DF26</f>
        <v>82985</v>
      </c>
      <c r="EV20" s="54">
        <f>'1'!DH26-'1'!DG26</f>
        <v>-152833</v>
      </c>
      <c r="EW20" s="385"/>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row>
    <row r="21" spans="1:185" s="50" customFormat="1" ht="15" customHeight="1">
      <c r="A21" s="19" t="s">
        <v>2</v>
      </c>
      <c r="B21" s="20">
        <v>572453.25844000012</v>
      </c>
      <c r="C21" s="20">
        <v>577893.49600000004</v>
      </c>
      <c r="D21" s="20">
        <v>491316.13468000002</v>
      </c>
      <c r="E21" s="20">
        <v>609321.07769000006</v>
      </c>
      <c r="F21" s="20">
        <v>567518.72514</v>
      </c>
      <c r="G21" s="20">
        <v>812504.60559999989</v>
      </c>
      <c r="H21" s="20">
        <v>592100.34180000005</v>
      </c>
      <c r="I21" s="20">
        <v>575100.20088000002</v>
      </c>
      <c r="J21" s="20">
        <v>559626.55220999999</v>
      </c>
      <c r="K21" s="20">
        <v>573353.65074999991</v>
      </c>
      <c r="L21" s="20">
        <v>504547.57747000008</v>
      </c>
      <c r="M21" s="20">
        <v>616421.22578999994</v>
      </c>
      <c r="N21" s="20">
        <v>632428.37940999994</v>
      </c>
      <c r="O21" s="20">
        <v>542093.10970999987</v>
      </c>
      <c r="P21" s="20">
        <v>636609.10368000006</v>
      </c>
      <c r="Q21" s="20">
        <v>758241.99200000009</v>
      </c>
      <c r="R21" s="20">
        <v>596150.30541999999</v>
      </c>
      <c r="S21" s="20">
        <v>657245.79293000011</v>
      </c>
      <c r="T21" s="20">
        <v>549509.6398</v>
      </c>
      <c r="U21" s="20">
        <v>673483.01213000016</v>
      </c>
      <c r="V21" s="20">
        <v>511530.47103999992</v>
      </c>
      <c r="W21" s="20">
        <v>616842.65458999993</v>
      </c>
      <c r="X21" s="20">
        <v>527157.93918999995</v>
      </c>
      <c r="Y21" s="20">
        <v>591070.41255000001</v>
      </c>
      <c r="Z21" s="21">
        <v>609780.00941000006</v>
      </c>
      <c r="AA21" s="21">
        <v>674157.70870999992</v>
      </c>
      <c r="AB21" s="21">
        <v>515205.84341999993</v>
      </c>
      <c r="AC21" s="21">
        <v>642789.61191000009</v>
      </c>
      <c r="AD21" s="21">
        <v>691091.19531000021</v>
      </c>
      <c r="AE21" s="21">
        <v>606230.34338999994</v>
      </c>
      <c r="AF21" s="21">
        <v>611375.98550999991</v>
      </c>
      <c r="AG21" s="21">
        <v>593175.13246000011</v>
      </c>
      <c r="AH21" s="7">
        <v>602647.62617000006</v>
      </c>
      <c r="AI21" s="7">
        <v>615734.38217000011</v>
      </c>
      <c r="AJ21" s="7">
        <v>572303.44938000012</v>
      </c>
      <c r="AK21" s="7">
        <v>691706.00033000007</v>
      </c>
      <c r="AL21" s="7">
        <v>669937.09370000008</v>
      </c>
      <c r="AM21" s="7">
        <v>640881.15492</v>
      </c>
      <c r="AN21" s="7">
        <v>543618.31486000004</v>
      </c>
      <c r="AO21" s="7">
        <v>704169.60757999984</v>
      </c>
      <c r="AP21" s="7">
        <v>669025.44029000006</v>
      </c>
      <c r="AQ21" s="7">
        <v>720116.64905000012</v>
      </c>
      <c r="AR21" s="7">
        <v>646029.95758999989</v>
      </c>
      <c r="AS21" s="7">
        <v>653796.40891000023</v>
      </c>
      <c r="AT21" s="7">
        <v>595177.44375999994</v>
      </c>
      <c r="AU21" s="7">
        <v>672235.19588000001</v>
      </c>
      <c r="AV21" s="7">
        <v>593569.46672999999</v>
      </c>
      <c r="AW21" s="7">
        <v>731655.06091</v>
      </c>
      <c r="AX21" s="7">
        <v>738730.43738999998</v>
      </c>
      <c r="AY21" s="7">
        <v>757484.10592000105</v>
      </c>
      <c r="AZ21" s="7">
        <v>593920.89920999995</v>
      </c>
      <c r="BA21" s="7">
        <v>792322.40607000003</v>
      </c>
      <c r="BB21" s="7">
        <v>900183.37918000005</v>
      </c>
      <c r="BC21" s="7">
        <v>748402.38951000001</v>
      </c>
      <c r="BD21" s="7">
        <v>927386.73921999906</v>
      </c>
      <c r="BE21" s="7">
        <v>732749.69623999903</v>
      </c>
      <c r="BF21" s="7">
        <v>654555.72349999996</v>
      </c>
      <c r="BG21" s="7">
        <v>739688.69134999998</v>
      </c>
      <c r="BH21" s="7">
        <v>722224.66969000199</v>
      </c>
      <c r="BI21" s="7">
        <v>753113.63171999902</v>
      </c>
      <c r="BJ21" s="7">
        <v>832438.99899999995</v>
      </c>
      <c r="BK21" s="7">
        <v>836759.82900000003</v>
      </c>
      <c r="BL21" s="7">
        <v>580294.13800000015</v>
      </c>
      <c r="BM21" s="7">
        <v>858394.25199999986</v>
      </c>
      <c r="BN21" s="7">
        <f>'1'!S27-'1'!R27</f>
        <v>935377.78200000012</v>
      </c>
      <c r="BO21" s="7">
        <f>'1'!T27-'1'!S27</f>
        <v>932385</v>
      </c>
      <c r="BP21" s="7">
        <f>'1'!U27-'1'!T27</f>
        <v>728930</v>
      </c>
      <c r="BQ21" s="7">
        <f>'1'!V27-'1'!U27</f>
        <v>677386</v>
      </c>
      <c r="BR21" s="7">
        <f>'1'!W27-'1'!V27</f>
        <v>623633</v>
      </c>
      <c r="BS21" s="7">
        <f>'1'!X27-'1'!W27</f>
        <v>839813</v>
      </c>
      <c r="BT21" s="7">
        <f>'1'!Y27-'1'!X27</f>
        <v>669327</v>
      </c>
      <c r="BU21" s="7">
        <f>'1'!Z27-'1'!Y27</f>
        <v>913298</v>
      </c>
      <c r="BV21" s="7">
        <v>800105</v>
      </c>
      <c r="BW21" s="7">
        <f>'1'!AC27-'1'!AB27</f>
        <v>830025</v>
      </c>
      <c r="BX21" s="7">
        <f>'1'!AD27-'1'!AC27</f>
        <v>663244</v>
      </c>
      <c r="BY21" s="7">
        <f>'1'!AE27-'1'!AD27</f>
        <v>886231</v>
      </c>
      <c r="BZ21" s="7">
        <f>'1'!AF27-'1'!AE27</f>
        <v>782269</v>
      </c>
      <c r="CA21" s="7">
        <f>'1'!AG27-'1'!AF27</f>
        <v>687984</v>
      </c>
      <c r="CB21" s="7">
        <f>'1'!AH27-'1'!AG27</f>
        <v>977504</v>
      </c>
      <c r="CC21" s="7">
        <f>'1'!AI27-'1'!AH27</f>
        <v>736633</v>
      </c>
      <c r="CD21" s="7">
        <f>'1'!AJ27-'1'!AI27</f>
        <v>701445</v>
      </c>
      <c r="CE21" s="7">
        <f>'1'!AK27-'1'!AJ27</f>
        <v>749609</v>
      </c>
      <c r="CF21" s="7">
        <f>'1'!AL27-'1'!AK27</f>
        <v>720930</v>
      </c>
      <c r="CG21" s="7">
        <f>'1'!AM27-'1'!AL27</f>
        <v>928826</v>
      </c>
      <c r="CH21" s="7">
        <v>892172</v>
      </c>
      <c r="CI21" s="7">
        <f>'1'!AP27-'1'!AO27</f>
        <v>877669</v>
      </c>
      <c r="CJ21" s="7">
        <f>'1'!AQ27-'1'!AP27</f>
        <v>558642</v>
      </c>
      <c r="CK21" s="7">
        <f>'1'!AR27-'1'!AQ27</f>
        <v>1048883</v>
      </c>
      <c r="CL21" s="7">
        <f>'1'!AS27-'1'!AR27</f>
        <v>928758</v>
      </c>
      <c r="CM21" s="7">
        <f>'1'!AT27-'1'!AS27</f>
        <v>845276</v>
      </c>
      <c r="CN21" s="7">
        <f>'1'!AU27-'1'!AT27</f>
        <v>1009816</v>
      </c>
      <c r="CO21" s="7">
        <f>'1'!AV27-'1'!AU27</f>
        <v>864022</v>
      </c>
      <c r="CP21" s="7">
        <f>'1'!AW27-'1'!AV27</f>
        <v>1047025</v>
      </c>
      <c r="CQ21" s="7">
        <f>'1'!AX27-'1'!AW27</f>
        <v>789870</v>
      </c>
      <c r="CR21" s="7">
        <f>'1'!AY27-'1'!AX27</f>
        <v>906372</v>
      </c>
      <c r="CS21" s="7">
        <f>'1'!AZ27-'1'!AY27</f>
        <v>931522</v>
      </c>
      <c r="CT21" s="7">
        <v>1040998</v>
      </c>
      <c r="CU21" s="7">
        <f>'1'!BC27-'1'!BB27</f>
        <v>971701</v>
      </c>
      <c r="CV21" s="7">
        <f>'1'!BD27-'1'!BC27</f>
        <v>773890</v>
      </c>
      <c r="CW21" s="7">
        <f>'1'!BE27-'1'!BD27</f>
        <v>1085149</v>
      </c>
      <c r="CX21" s="7">
        <f>'1'!BF27-'1'!BE27</f>
        <v>967182.28899999987</v>
      </c>
      <c r="CY21" s="7">
        <f>'1'!BG27-'1'!BF27</f>
        <v>936521.28399999999</v>
      </c>
      <c r="CZ21" s="7">
        <f>'1'!BH27-'1'!BG27</f>
        <v>1027614.4270000001</v>
      </c>
      <c r="DA21" s="7">
        <f>'1'!BI27-'1'!BH27</f>
        <v>1012778</v>
      </c>
      <c r="DB21" s="7">
        <f>'1'!BJ27-'1'!BI27</f>
        <v>897609</v>
      </c>
      <c r="DC21" s="7">
        <f>'1'!BK27-'1'!BJ27</f>
        <v>1137706</v>
      </c>
      <c r="DD21" s="7">
        <f>'1'!BL27-'1'!BK27</f>
        <v>1062330</v>
      </c>
      <c r="DE21" s="7">
        <f>'1'!BM27-'1'!BL27</f>
        <v>1197372</v>
      </c>
      <c r="DF21" s="7">
        <v>1108007</v>
      </c>
      <c r="DG21" s="115">
        <f>'1'!BP27-'1'!BO27</f>
        <v>1715536</v>
      </c>
      <c r="DH21" s="115">
        <f>'1'!BQ27-'1'!BP27</f>
        <v>1019919</v>
      </c>
      <c r="DI21" s="115">
        <f>'1'!BR27-'1'!BQ27</f>
        <v>420767</v>
      </c>
      <c r="DJ21" s="115">
        <f>'1'!BS27-'1'!BR27</f>
        <v>2567520</v>
      </c>
      <c r="DK21" s="115">
        <f>'1'!BT27-'1'!BS27</f>
        <v>-267672</v>
      </c>
      <c r="DL21" s="115">
        <f>'1'!BU27-'1'!BT27</f>
        <v>1241741</v>
      </c>
      <c r="DM21" s="115">
        <f>'1'!BV27-'1'!BU27</f>
        <v>1050106</v>
      </c>
      <c r="DN21" s="115">
        <f>'1'!BW27-'1'!BV27</f>
        <v>1044819</v>
      </c>
      <c r="DO21" s="115">
        <f>'1'!BX27-'1'!BW27</f>
        <v>1033595</v>
      </c>
      <c r="DP21" s="115">
        <f>'1'!BY27-'1'!BX27</f>
        <v>1129578</v>
      </c>
      <c r="DQ21" s="115">
        <f>'1'!BZ27-'1'!BY27</f>
        <v>1152846</v>
      </c>
      <c r="DR21" s="115">
        <v>1342740</v>
      </c>
      <c r="DS21" s="115">
        <f>'1'!CC27-'1'!CB27</f>
        <v>1110583</v>
      </c>
      <c r="DT21" s="115">
        <f>'1'!CD27-'1'!CC27</f>
        <v>1050083</v>
      </c>
      <c r="DU21" s="115">
        <f>'1'!CE27-'1'!CD27</f>
        <v>1240633</v>
      </c>
      <c r="DV21" s="115">
        <f>'1'!CF27-'1'!CE27</f>
        <v>1484666</v>
      </c>
      <c r="DW21" s="115">
        <f>'1'!CG27-'1'!CF27</f>
        <v>1585954</v>
      </c>
      <c r="DX21" s="115">
        <f>'1'!CH27-'1'!CG27</f>
        <v>1261042</v>
      </c>
      <c r="DY21" s="115">
        <f>'1'!CI27-'1'!CH27</f>
        <v>1122661</v>
      </c>
      <c r="DZ21" s="115">
        <f>'1'!CJ27-'1'!CI27</f>
        <v>1046630</v>
      </c>
      <c r="EA21" s="115">
        <f>'1'!CK27-'1'!CJ27</f>
        <v>1070073</v>
      </c>
      <c r="EB21" s="115">
        <f>'1'!CL27-'1'!CK27</f>
        <v>1019965</v>
      </c>
      <c r="EC21" s="115">
        <f>'1'!CM27-'1'!CL27</f>
        <v>1240276</v>
      </c>
      <c r="ED21" s="115">
        <f>'1'!CO27</f>
        <v>1283239</v>
      </c>
      <c r="EE21" s="115">
        <f>'1'!CP27-'1'!CO27</f>
        <v>1215175</v>
      </c>
      <c r="EF21" s="115">
        <f>'1'!CQ27-'1'!CP27</f>
        <v>922236</v>
      </c>
      <c r="EG21" s="115">
        <f>'1'!CR27-'1'!CQ27</f>
        <v>1209262</v>
      </c>
      <c r="EH21" s="115">
        <f>'1'!CS27-'1'!CR27</f>
        <v>1543786</v>
      </c>
      <c r="EI21" s="115">
        <f>'1'!CT27-'1'!CS27</f>
        <v>1518178</v>
      </c>
      <c r="EJ21" s="115">
        <f>'1'!CU27-'1'!CT27</f>
        <v>1216868</v>
      </c>
      <c r="EK21" s="115">
        <f>'1'!CV27-'1'!CU27</f>
        <v>1364575</v>
      </c>
      <c r="EL21" s="115">
        <f>'1'!CW27-'1'!CV27</f>
        <v>1072403</v>
      </c>
      <c r="EM21" s="115">
        <f>'1'!CX27-'1'!CW27</f>
        <v>1136218</v>
      </c>
      <c r="EN21" s="115">
        <f>'1'!CY27-'1'!CX27</f>
        <v>1082906</v>
      </c>
      <c r="EO21" s="115">
        <f>'1'!CZ27-'1'!CY27</f>
        <v>1571707</v>
      </c>
      <c r="EP21" s="115">
        <f>'1'!DB27</f>
        <v>1322453</v>
      </c>
      <c r="EQ21" s="115">
        <f>'1'!DC27-'1'!DB27</f>
        <v>1800151</v>
      </c>
      <c r="ER21" s="115">
        <f>'1'!DD27-'1'!DC27</f>
        <v>993429</v>
      </c>
      <c r="ES21" s="115">
        <f>'1'!DE27-'1'!DD27</f>
        <v>1233898</v>
      </c>
      <c r="ET21" s="115">
        <f>'1'!DF27-'1'!DE27</f>
        <v>1652650</v>
      </c>
      <c r="EU21" s="115">
        <f>'1'!DG27-'1'!DF27</f>
        <v>1553835</v>
      </c>
      <c r="EV21" s="115">
        <f>'1'!DH27-'1'!DG27</f>
        <v>1333155</v>
      </c>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row>
    <row r="22" spans="1:185" s="50" customFormat="1" ht="15" customHeight="1">
      <c r="A22" s="19" t="s">
        <v>7</v>
      </c>
      <c r="B22" s="20">
        <v>508416.85</v>
      </c>
      <c r="C22" s="20">
        <v>613663.24900000007</v>
      </c>
      <c r="D22" s="20">
        <v>570844.65527999995</v>
      </c>
      <c r="E22" s="20">
        <v>640938.32216999982</v>
      </c>
      <c r="F22" s="20">
        <v>481082.09277000005</v>
      </c>
      <c r="G22" s="20">
        <v>596462.49130999984</v>
      </c>
      <c r="H22" s="20">
        <v>575751.27422999986</v>
      </c>
      <c r="I22" s="20">
        <v>525675.11242999986</v>
      </c>
      <c r="J22" s="20">
        <v>546103.16101000004</v>
      </c>
      <c r="K22" s="20">
        <v>636433.12600999989</v>
      </c>
      <c r="L22" s="20">
        <v>661929.59633999993</v>
      </c>
      <c r="M22" s="20">
        <v>1007896.2043700002</v>
      </c>
      <c r="N22" s="20">
        <v>561978.52627999999</v>
      </c>
      <c r="O22" s="20">
        <v>638553.78357000009</v>
      </c>
      <c r="P22" s="20">
        <v>641678.66995999997</v>
      </c>
      <c r="Q22" s="20">
        <v>630801.32197000005</v>
      </c>
      <c r="R22" s="20">
        <v>508852.64511000004</v>
      </c>
      <c r="S22" s="20">
        <v>678921.47745000012</v>
      </c>
      <c r="T22" s="20">
        <v>612429.37298999971</v>
      </c>
      <c r="U22" s="20">
        <v>560423.61679000012</v>
      </c>
      <c r="V22" s="20">
        <v>583131.41900999995</v>
      </c>
      <c r="W22" s="20">
        <v>577234.42616000015</v>
      </c>
      <c r="X22" s="20">
        <v>634901.24858999986</v>
      </c>
      <c r="Y22" s="20">
        <v>1010255.5125500002</v>
      </c>
      <c r="Z22" s="21">
        <v>547484.02391000011</v>
      </c>
      <c r="AA22" s="21">
        <v>654134.65187000018</v>
      </c>
      <c r="AB22" s="21">
        <v>659785.08062999998</v>
      </c>
      <c r="AC22" s="21">
        <v>666856.54694000003</v>
      </c>
      <c r="AD22" s="21">
        <v>553152.05214000004</v>
      </c>
      <c r="AE22" s="21">
        <v>599452.3564500002</v>
      </c>
      <c r="AF22" s="21">
        <v>570741.76313999982</v>
      </c>
      <c r="AG22" s="21">
        <v>566824.65961000009</v>
      </c>
      <c r="AH22" s="7">
        <v>531223.00676000002</v>
      </c>
      <c r="AI22" s="7">
        <v>682301.01955999993</v>
      </c>
      <c r="AJ22" s="7">
        <v>683317.18333999999</v>
      </c>
      <c r="AK22" s="7">
        <v>869542.01569000015</v>
      </c>
      <c r="AL22" s="7">
        <v>589679.88976000005</v>
      </c>
      <c r="AM22" s="7">
        <v>641830.45382999978</v>
      </c>
      <c r="AN22" s="7">
        <v>618270.91697000014</v>
      </c>
      <c r="AO22" s="7">
        <v>641138.06133000006</v>
      </c>
      <c r="AP22" s="7">
        <v>607451.34332999995</v>
      </c>
      <c r="AQ22" s="7">
        <v>719536.69573000015</v>
      </c>
      <c r="AR22" s="7">
        <v>576136.39172999992</v>
      </c>
      <c r="AS22" s="7">
        <v>582632.43264999974</v>
      </c>
      <c r="AT22" s="7">
        <v>579983.63950000005</v>
      </c>
      <c r="AU22" s="7">
        <v>781300.56651999988</v>
      </c>
      <c r="AV22" s="7">
        <v>724256.3731900003</v>
      </c>
      <c r="AW22" s="7">
        <v>985307.16952</v>
      </c>
      <c r="AX22" s="7">
        <v>614152.68689000001</v>
      </c>
      <c r="AY22" s="7">
        <v>650467.07216000103</v>
      </c>
      <c r="AZ22" s="7">
        <v>672073.0906</v>
      </c>
      <c r="BA22" s="7">
        <v>785683.29790000001</v>
      </c>
      <c r="BB22" s="7">
        <v>636368.92166999995</v>
      </c>
      <c r="BC22" s="7">
        <v>752375.26199999999</v>
      </c>
      <c r="BD22" s="7">
        <v>712444.81086000102</v>
      </c>
      <c r="BE22" s="7">
        <v>683229.01555999997</v>
      </c>
      <c r="BF22" s="7">
        <v>666899.74621000094</v>
      </c>
      <c r="BG22" s="7">
        <v>909358.61623999896</v>
      </c>
      <c r="BH22" s="7">
        <v>851788.95958000096</v>
      </c>
      <c r="BI22" s="7">
        <v>1190499.4953299984</v>
      </c>
      <c r="BJ22" s="7">
        <v>728690.54</v>
      </c>
      <c r="BK22" s="7">
        <v>777694.20099999988</v>
      </c>
      <c r="BL22" s="7">
        <v>684604.89999999991</v>
      </c>
      <c r="BM22" s="7">
        <v>786087.89000000013</v>
      </c>
      <c r="BN22" s="7">
        <f>'1'!S28-'1'!R28</f>
        <v>695887.46900000004</v>
      </c>
      <c r="BO22" s="7">
        <f>'1'!T28-'1'!S28</f>
        <v>739647</v>
      </c>
      <c r="BP22" s="7">
        <f>'1'!U28-'1'!T28</f>
        <v>790887</v>
      </c>
      <c r="BQ22" s="7">
        <f>'1'!V28-'1'!U28</f>
        <v>680705</v>
      </c>
      <c r="BR22" s="7">
        <f>'1'!W28-'1'!V28</f>
        <v>713347</v>
      </c>
      <c r="BS22" s="7">
        <f>'1'!X28-'1'!W28</f>
        <v>911327</v>
      </c>
      <c r="BT22" s="7">
        <f>'1'!Y28-'1'!X28</f>
        <v>820340</v>
      </c>
      <c r="BU22" s="7">
        <f>'1'!Z28-'1'!Y28</f>
        <v>1266606</v>
      </c>
      <c r="BV22" s="7">
        <v>797032</v>
      </c>
      <c r="BW22" s="7">
        <f>'1'!AC28-'1'!AB28</f>
        <v>769650</v>
      </c>
      <c r="BX22" s="7">
        <f>'1'!AD28-'1'!AC28</f>
        <v>799029</v>
      </c>
      <c r="BY22" s="7">
        <f>'1'!AE28-'1'!AD28</f>
        <v>950325</v>
      </c>
      <c r="BZ22" s="7">
        <f>'1'!AF28-'1'!AE28</f>
        <v>712499</v>
      </c>
      <c r="CA22" s="7">
        <f>'1'!AG28-'1'!AF28</f>
        <v>854078</v>
      </c>
      <c r="CB22" s="7">
        <f>'1'!AH28-'1'!AG28</f>
        <v>833559</v>
      </c>
      <c r="CC22" s="7">
        <f>'1'!AI28-'1'!AH28</f>
        <v>797669</v>
      </c>
      <c r="CD22" s="7">
        <f>'1'!AJ28-'1'!AI28</f>
        <v>832798</v>
      </c>
      <c r="CE22" s="7">
        <f>'1'!AK28-'1'!AJ28</f>
        <v>966846</v>
      </c>
      <c r="CF22" s="7">
        <f>'1'!AL28-'1'!AK28</f>
        <v>842781</v>
      </c>
      <c r="CG22" s="7">
        <f>'1'!AM28-'1'!AL28</f>
        <v>1418037</v>
      </c>
      <c r="CH22" s="7">
        <v>773857</v>
      </c>
      <c r="CI22" s="7">
        <f>'1'!AP28-'1'!AO28</f>
        <v>1002876</v>
      </c>
      <c r="CJ22" s="7">
        <f>'1'!AQ28-'1'!AP28</f>
        <v>1214805</v>
      </c>
      <c r="CK22" s="7">
        <f>'1'!AR28-'1'!AQ28</f>
        <v>1131582</v>
      </c>
      <c r="CL22" s="7">
        <f>'1'!AS28-'1'!AR28</f>
        <v>910698</v>
      </c>
      <c r="CM22" s="7">
        <f>'1'!AT28-'1'!AS28</f>
        <v>1115035</v>
      </c>
      <c r="CN22" s="7">
        <f>'1'!AU28-'1'!AT28</f>
        <v>914913</v>
      </c>
      <c r="CO22" s="7">
        <f>'1'!AV28-'1'!AU28</f>
        <v>859730</v>
      </c>
      <c r="CP22" s="7">
        <f>'1'!AW28-'1'!AV28</f>
        <v>914488</v>
      </c>
      <c r="CQ22" s="7">
        <f>'1'!AX28-'1'!AW28</f>
        <v>1017975</v>
      </c>
      <c r="CR22" s="7">
        <f>'1'!AY28-'1'!AX28</f>
        <v>987739</v>
      </c>
      <c r="CS22" s="7">
        <f>'1'!AZ28-'1'!AY28</f>
        <v>1590560</v>
      </c>
      <c r="CT22" s="7">
        <v>929008</v>
      </c>
      <c r="CU22" s="7">
        <f>'1'!BC28-'1'!BB28</f>
        <v>1037711</v>
      </c>
      <c r="CV22" s="7">
        <f>'1'!BD28-'1'!BC28</f>
        <v>1101068</v>
      </c>
      <c r="CW22" s="7">
        <f>'1'!BE28-'1'!BD28</f>
        <v>1051134</v>
      </c>
      <c r="CX22" s="7">
        <f>'1'!BF28-'1'!BE28</f>
        <v>1038453.2769999998</v>
      </c>
      <c r="CY22" s="7">
        <f>'1'!BG28-'1'!BF28</f>
        <v>997944.00100000016</v>
      </c>
      <c r="CZ22" s="7">
        <f>'1'!BH28-'1'!BG28</f>
        <v>925742.72200000007</v>
      </c>
      <c r="DA22" s="7">
        <f>'1'!BI28-'1'!BH28</f>
        <v>929207</v>
      </c>
      <c r="DB22" s="7">
        <f>'1'!BJ28-'1'!BI28</f>
        <v>1254929</v>
      </c>
      <c r="DC22" s="7">
        <f>'1'!BK28-'1'!BJ28</f>
        <v>1382323</v>
      </c>
      <c r="DD22" s="7">
        <f>'1'!BL28-'1'!BK28</f>
        <v>1101170</v>
      </c>
      <c r="DE22" s="7">
        <f>'1'!BM28-'1'!BL28</f>
        <v>1875733</v>
      </c>
      <c r="DF22" s="7">
        <v>969447</v>
      </c>
      <c r="DG22" s="115">
        <f>'1'!BP28-'1'!BO28</f>
        <v>1706784</v>
      </c>
      <c r="DH22" s="115">
        <f>'1'!BQ28-'1'!BP28</f>
        <v>1431299</v>
      </c>
      <c r="DI22" s="115">
        <f>'1'!BR28-'1'!BQ28</f>
        <v>372576</v>
      </c>
      <c r="DJ22" s="115">
        <f>'1'!BS28-'1'!BR28</f>
        <v>2406369</v>
      </c>
      <c r="DK22" s="115">
        <f>'1'!BT28-'1'!BS28</f>
        <v>-113053</v>
      </c>
      <c r="DL22" s="115">
        <f>'1'!BU28-'1'!BT28</f>
        <v>1031700</v>
      </c>
      <c r="DM22" s="115">
        <f>'1'!BV28-'1'!BU28</f>
        <v>1056215</v>
      </c>
      <c r="DN22" s="115">
        <f>'1'!BW28-'1'!BV28</f>
        <v>1046338</v>
      </c>
      <c r="DO22" s="115">
        <f>'1'!BX28-'1'!BW28</f>
        <v>1240400</v>
      </c>
      <c r="DP22" s="115">
        <f>'1'!BY28-'1'!BX28</f>
        <v>1223155</v>
      </c>
      <c r="DQ22" s="115">
        <f>'1'!BZ28-'1'!BY28</f>
        <v>2112446</v>
      </c>
      <c r="DR22" s="115">
        <v>1175965</v>
      </c>
      <c r="DS22" s="115">
        <f>'1'!CC28-'1'!CB28</f>
        <v>1224665</v>
      </c>
      <c r="DT22" s="115">
        <f>'1'!CD28-'1'!CC28</f>
        <v>1129047</v>
      </c>
      <c r="DU22" s="115">
        <f>'1'!CE28-'1'!CD28</f>
        <v>1389622</v>
      </c>
      <c r="DV22" s="115">
        <f>'1'!CF28-'1'!CE28</f>
        <v>1133398</v>
      </c>
      <c r="DW22" s="115">
        <f>'1'!CG28-'1'!CF28</f>
        <v>1253611</v>
      </c>
      <c r="DX22" s="115">
        <f>'1'!CH28-'1'!CG28</f>
        <v>1237646</v>
      </c>
      <c r="DY22" s="115">
        <f>'1'!CI28-'1'!CH28</f>
        <v>1089222</v>
      </c>
      <c r="DZ22" s="115">
        <f>'1'!CJ28-'1'!CI28</f>
        <v>1114346</v>
      </c>
      <c r="EA22" s="115">
        <f>'1'!CK28-'1'!CJ28</f>
        <v>1371779</v>
      </c>
      <c r="EB22" s="115">
        <f>'1'!CL28-'1'!CK28</f>
        <v>1247350</v>
      </c>
      <c r="EC22" s="115">
        <f>'1'!CM28-'1'!CL28</f>
        <v>1893493</v>
      </c>
      <c r="ED22" s="115">
        <f>'1'!CO28</f>
        <v>1315050</v>
      </c>
      <c r="EE22" s="115">
        <f>'1'!CP28-'1'!CO28</f>
        <v>1356149</v>
      </c>
      <c r="EF22" s="115">
        <f>'1'!CQ28-'1'!CP28</f>
        <v>1404878</v>
      </c>
      <c r="EG22" s="115">
        <f>'1'!CR28-'1'!CQ28</f>
        <v>1449874</v>
      </c>
      <c r="EH22" s="115">
        <f>'1'!CS28-'1'!CR28</f>
        <v>1188330</v>
      </c>
      <c r="EI22" s="115">
        <f>'1'!CT28-'1'!CS28</f>
        <v>1362078</v>
      </c>
      <c r="EJ22" s="115">
        <f>'1'!CU28-'1'!CT28</f>
        <v>1313957</v>
      </c>
      <c r="EK22" s="115">
        <f>'1'!CV28-'1'!CU28</f>
        <v>1206102</v>
      </c>
      <c r="EL22" s="115">
        <f>'1'!CW28-'1'!CV28</f>
        <v>1354958</v>
      </c>
      <c r="EM22" s="115">
        <f>'1'!CX28-'1'!CW28</f>
        <v>1426472</v>
      </c>
      <c r="EN22" s="115">
        <f>'1'!CY28-'1'!CX28</f>
        <v>1303733</v>
      </c>
      <c r="EO22" s="115">
        <f>'1'!CZ28-'1'!CY28</f>
        <v>2148458</v>
      </c>
      <c r="EP22" s="115">
        <f>'1'!DB28</f>
        <v>1395005</v>
      </c>
      <c r="EQ22" s="115">
        <f>'1'!DC28-'1'!DB28</f>
        <v>1399809</v>
      </c>
      <c r="ER22" s="115">
        <f>'1'!DD28-'1'!DC28</f>
        <v>1428383</v>
      </c>
      <c r="ES22" s="115">
        <f>'1'!DE28-'1'!DD28</f>
        <v>1375531</v>
      </c>
      <c r="ET22" s="115">
        <f>'1'!DF28-'1'!DE28</f>
        <v>1325939</v>
      </c>
      <c r="EU22" s="115">
        <f>'1'!DG28-'1'!DF28</f>
        <v>1470850</v>
      </c>
      <c r="EV22" s="115">
        <f>'1'!DH28-'1'!DG28</f>
        <v>1485988</v>
      </c>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row>
    <row r="23" spans="1:185" s="49" customFormat="1" ht="15" customHeight="1">
      <c r="A23" s="22" t="s">
        <v>16</v>
      </c>
      <c r="B23" s="4">
        <f t="shared" ref="B23:N23" si="16">B24-B25</f>
        <v>33260.755569999979</v>
      </c>
      <c r="C23" s="4">
        <f t="shared" si="16"/>
        <v>-33571.760830000043</v>
      </c>
      <c r="D23" s="4">
        <f t="shared" si="16"/>
        <v>-79946.533859999967</v>
      </c>
      <c r="E23" s="4">
        <f t="shared" si="16"/>
        <v>-1085.7182200000971</v>
      </c>
      <c r="F23" s="4">
        <f t="shared" si="16"/>
        <v>44687.930449999985</v>
      </c>
      <c r="G23" s="4">
        <f t="shared" si="16"/>
        <v>217242.68502999994</v>
      </c>
      <c r="H23" s="4">
        <f t="shared" si="16"/>
        <v>-8189.4366899999441</v>
      </c>
      <c r="I23" s="4">
        <f t="shared" si="16"/>
        <v>23956.386670000094</v>
      </c>
      <c r="J23" s="4">
        <f t="shared" si="16"/>
        <v>22441.390190000006</v>
      </c>
      <c r="K23" s="4">
        <f t="shared" si="16"/>
        <v>-74756.53781999991</v>
      </c>
      <c r="L23" s="4">
        <f t="shared" si="16"/>
        <v>-158897.42370000004</v>
      </c>
      <c r="M23" s="4">
        <f t="shared" si="16"/>
        <v>-390910.41116000002</v>
      </c>
      <c r="N23" s="4">
        <f t="shared" si="16"/>
        <v>41492.084689999989</v>
      </c>
      <c r="O23" s="4">
        <f t="shared" ref="O23:W23" si="17">O24-O25</f>
        <v>-91743.045259999984</v>
      </c>
      <c r="P23" s="4">
        <f t="shared" si="17"/>
        <v>33964.095859999943</v>
      </c>
      <c r="Q23" s="4">
        <f t="shared" si="17"/>
        <v>117639.3283200002</v>
      </c>
      <c r="R23" s="4">
        <f t="shared" si="17"/>
        <v>53160.925479999976</v>
      </c>
      <c r="S23" s="4">
        <f t="shared" si="17"/>
        <v>-3707.6821200000704</v>
      </c>
      <c r="T23" s="4">
        <f t="shared" si="17"/>
        <v>-93968.616989999893</v>
      </c>
      <c r="U23" s="4">
        <f t="shared" si="17"/>
        <v>87535.837600000086</v>
      </c>
      <c r="V23" s="4">
        <f t="shared" si="17"/>
        <v>-50178.648909999873</v>
      </c>
      <c r="W23" s="4">
        <f t="shared" si="17"/>
        <v>21053.398660000064</v>
      </c>
      <c r="X23" s="4">
        <v>-96824.210880000086</v>
      </c>
      <c r="Y23" s="4">
        <v>-405239.96993000002</v>
      </c>
      <c r="Z23" s="15">
        <f>Z24-Z25</f>
        <v>46599.534769999969</v>
      </c>
      <c r="AA23" s="15">
        <v>26077.910050000064</v>
      </c>
      <c r="AB23" s="15">
        <v>-124532.78058000001</v>
      </c>
      <c r="AC23" s="15">
        <v>-52305.826109999907</v>
      </c>
      <c r="AD23" s="15">
        <v>140168.8747300001</v>
      </c>
      <c r="AE23" s="15">
        <v>3448.146099999974</v>
      </c>
      <c r="AF23" s="15">
        <v>-2700.1526200000662</v>
      </c>
      <c r="AG23" s="15">
        <v>31780.856380000045</v>
      </c>
      <c r="AH23" s="4">
        <v>72809.903910000008</v>
      </c>
      <c r="AI23" s="4">
        <v>-85126.735909999974</v>
      </c>
      <c r="AJ23" s="4">
        <v>-89595.121259999927</v>
      </c>
      <c r="AK23" s="4">
        <v>-206022.7729400002</v>
      </c>
      <c r="AL23" s="4">
        <v>97051.403259999977</v>
      </c>
      <c r="AM23" s="4">
        <v>-282.77537000004668</v>
      </c>
      <c r="AN23" s="4">
        <v>-60363.907320000013</v>
      </c>
      <c r="AO23" s="4">
        <v>63460.521210000021</v>
      </c>
      <c r="AP23" s="4">
        <v>32621.707880000002</v>
      </c>
      <c r="AQ23" s="4">
        <v>-11913.921120000168</v>
      </c>
      <c r="AR23" s="4">
        <v>14160.891649999883</v>
      </c>
      <c r="AS23" s="4">
        <v>53845.33241999981</v>
      </c>
      <c r="AT23" s="4">
        <v>1808.4730599999261</v>
      </c>
      <c r="AU23" s="4">
        <v>-113779.89353999987</v>
      </c>
      <c r="AV23" s="4">
        <v>-139109.66769000015</v>
      </c>
      <c r="AW23" s="4">
        <v>-294425.96295999998</v>
      </c>
      <c r="AX23" s="4">
        <v>128454.47672999999</v>
      </c>
      <c r="AY23" s="4">
        <v>105980.01996999996</v>
      </c>
      <c r="AZ23" s="4">
        <v>-64027.345570000005</v>
      </c>
      <c r="BA23" s="4">
        <v>-15631.264949999982</v>
      </c>
      <c r="BB23" s="4">
        <v>230391.42238999999</v>
      </c>
      <c r="BC23" s="4">
        <v>-44588.51748999994</v>
      </c>
      <c r="BD23" s="4">
        <v>166734.40048000001</v>
      </c>
      <c r="BE23" s="4">
        <v>11355.416489999974</v>
      </c>
      <c r="BF23" s="4">
        <v>-42767.366259999981</v>
      </c>
      <c r="BG23" s="4">
        <v>-185021.61284999998</v>
      </c>
      <c r="BH23" s="4">
        <v>-144604.39475999994</v>
      </c>
      <c r="BI23" s="4">
        <v>-448424.70617999928</v>
      </c>
      <c r="BJ23" s="4">
        <f>BJ24-BJ25</f>
        <v>53602.820999999996</v>
      </c>
      <c r="BK23" s="4">
        <f>BK24-BK25</f>
        <v>46183.942360000219</v>
      </c>
      <c r="BL23" s="4">
        <f>BL24-BL25</f>
        <v>-107468.77536000009</v>
      </c>
      <c r="BM23" s="4">
        <f>BM24-BM25</f>
        <v>51330.863559999736</v>
      </c>
      <c r="BN23" s="4">
        <f>'1'!S29-'1'!R29</f>
        <v>202574.9844399998</v>
      </c>
      <c r="BO23" s="4">
        <f>'1'!T29-'1'!S29</f>
        <v>165654.16400000034</v>
      </c>
      <c r="BP23" s="4">
        <f>'1'!U29-'1'!T29</f>
        <v>-121455.65719999978</v>
      </c>
      <c r="BQ23" s="4">
        <f>'1'!V29-'1'!U29</f>
        <v>-62543.211800000165</v>
      </c>
      <c r="BR23" s="4">
        <f>'1'!W29-'1'!V29</f>
        <v>-99242.650000000373</v>
      </c>
      <c r="BS23" s="4">
        <f>'1'!X29-'1'!W29</f>
        <v>-106570.91399999987</v>
      </c>
      <c r="BT23" s="4">
        <f>'1'!Y29-'1'!X29</f>
        <v>-162750.84399999958</v>
      </c>
      <c r="BU23" s="4">
        <f>'1'!Z29-'1'!Y29</f>
        <v>-344358.90899999999</v>
      </c>
      <c r="BV23" s="4">
        <v>-27008.783000000054</v>
      </c>
      <c r="BW23" s="4">
        <f>'1'!AC29-'1'!AB29</f>
        <v>17739.259000000078</v>
      </c>
      <c r="BX23" s="4">
        <f>'1'!AD29-'1'!AC29</f>
        <v>-92437.362140000099</v>
      </c>
      <c r="BY23" s="4">
        <f>'1'!AE29-'1'!AD29</f>
        <v>-68618.75785999978</v>
      </c>
      <c r="BZ23" s="4">
        <f>'1'!AF29-'1'!AE29</f>
        <v>78305.058339999989</v>
      </c>
      <c r="CA23" s="4">
        <f>'1'!AG29-'1'!AF29</f>
        <v>-116676.41434000013</v>
      </c>
      <c r="CB23" s="4">
        <f>'1'!AH29-'1'!AG29</f>
        <v>93597.467999999877</v>
      </c>
      <c r="CC23" s="4">
        <f>'1'!AI29-'1'!AH29</f>
        <v>-101242.9309999994</v>
      </c>
      <c r="CD23" s="4">
        <f>'1'!AJ29-'1'!AI29</f>
        <v>-118985.25800000038</v>
      </c>
      <c r="CE23" s="4">
        <f>'1'!AK29-'1'!AJ29</f>
        <v>-265582.08700000029</v>
      </c>
      <c r="CF23" s="4">
        <f>'1'!AL29-'1'!AK29</f>
        <v>-108180.55800000019</v>
      </c>
      <c r="CG23" s="4">
        <f>'1'!AM29-'1'!AL29</f>
        <v>-532871.65866999887</v>
      </c>
      <c r="CH23" s="4">
        <v>145495.451</v>
      </c>
      <c r="CI23" s="4">
        <f>'1'!AP29-'1'!AO29</f>
        <v>-4522.4320000001462</v>
      </c>
      <c r="CJ23" s="4">
        <f>'1'!AQ29-'1'!AP29</f>
        <v>-694525.98199999984</v>
      </c>
      <c r="CK23" s="4">
        <f>'1'!AR29-'1'!AQ29</f>
        <v>-104877.79799999995</v>
      </c>
      <c r="CL23" s="4">
        <f>'1'!AS29-'1'!AR29</f>
        <v>-1156.4109999998473</v>
      </c>
      <c r="CM23" s="4">
        <f>'1'!AT29-'1'!AS29</f>
        <v>-279832.24099999992</v>
      </c>
      <c r="CN23" s="4">
        <f>'1'!AU29-'1'!AT29</f>
        <v>19028.310999999754</v>
      </c>
      <c r="CO23" s="4">
        <f>'1'!AV29-'1'!AU29</f>
        <v>-30047.233000000007</v>
      </c>
      <c r="CP23" s="4">
        <f>'1'!AW29-'1'!AV29</f>
        <v>111497.07700000051</v>
      </c>
      <c r="CQ23" s="4">
        <f>'1'!AX29-'1'!AW29</f>
        <v>-278801.69100000057</v>
      </c>
      <c r="CR23" s="4">
        <f>'1'!AY29-'1'!AX29</f>
        <v>-37283.726999999955</v>
      </c>
      <c r="CS23" s="4">
        <f>'1'!AZ29-'1'!AY29</f>
        <v>-805850.11799999885</v>
      </c>
      <c r="CT23" s="4">
        <v>-22576.613000000012</v>
      </c>
      <c r="CU23" s="4">
        <f>'1'!BC29-'1'!BB29</f>
        <v>-81631.043999999878</v>
      </c>
      <c r="CV23" s="4">
        <f>'1'!BD29-'1'!BC29</f>
        <v>-297136.22600000002</v>
      </c>
      <c r="CW23" s="4">
        <f>'1'!BE29-'1'!BD29</f>
        <v>-5088.9029999999329</v>
      </c>
      <c r="CX23" s="4">
        <f>'1'!BF29-'1'!BE29</f>
        <v>-112366.13100000005</v>
      </c>
      <c r="CY23" s="4">
        <f>'1'!BG29-'1'!BF29</f>
        <v>-101334.81200000038</v>
      </c>
      <c r="CZ23" s="4">
        <f>'1'!BH29-'1'!BG29</f>
        <v>-31986.254999999888</v>
      </c>
      <c r="DA23" s="4">
        <f>'1'!BI29-'1'!BH29</f>
        <v>56068.970000000671</v>
      </c>
      <c r="DB23" s="4">
        <f>'1'!BJ29-'1'!BI29</f>
        <v>-323095.80900000129</v>
      </c>
      <c r="DC23" s="4">
        <f>'1'!BK29-'1'!BJ29</f>
        <v>-323290.38999999873</v>
      </c>
      <c r="DD23" s="4">
        <f>'1'!BL29-'1'!BK29</f>
        <v>2508.4189999997616</v>
      </c>
      <c r="DE23" s="4">
        <f>'1'!BM29-'1'!BL29</f>
        <v>-649319.29600000009</v>
      </c>
      <c r="DF23" s="4">
        <v>105353.71799999999</v>
      </c>
      <c r="DG23" s="54">
        <f>'1'!BP29-'1'!BO29</f>
        <v>-111573.897</v>
      </c>
      <c r="DH23" s="54">
        <f>'1'!BQ29-'1'!BP29</f>
        <v>-268446.37400000007</v>
      </c>
      <c r="DI23" s="54">
        <f>'1'!BR29-'1'!BQ29</f>
        <v>80162.83499999973</v>
      </c>
      <c r="DJ23" s="54">
        <f>'1'!BS29-'1'!BR29</f>
        <v>69722.715000000317</v>
      </c>
      <c r="DK23" s="54">
        <f>'1'!BT29-'1'!BS29</f>
        <v>-111818.8310000007</v>
      </c>
      <c r="DL23" s="54">
        <f>'1'!BU29-'1'!BT29</f>
        <v>96437.577000000514</v>
      </c>
      <c r="DM23" s="54">
        <f>'1'!BV29-'1'!BU29</f>
        <v>-26561.408999999985</v>
      </c>
      <c r="DN23" s="54">
        <f>'1'!BW29-'1'!BV29</f>
        <v>-64729.896999999881</v>
      </c>
      <c r="DO23" s="54">
        <f>'1'!BX29-'1'!BW29</f>
        <v>-253457.17699999921</v>
      </c>
      <c r="DP23" s="54">
        <f>'1'!BY29-'1'!BX29</f>
        <v>-87529.517000001855</v>
      </c>
      <c r="DQ23" s="54">
        <f>'1'!BZ29-'1'!BY29</f>
        <v>-958560.44499999844</v>
      </c>
      <c r="DR23" s="54">
        <v>111979.60499999998</v>
      </c>
      <c r="DS23" s="54">
        <f>'1'!CC29-'1'!CB29</f>
        <v>-134250.83499999996</v>
      </c>
      <c r="DT23" s="54">
        <f>'1'!CD29-'1'!CC29</f>
        <v>-103808.37699999986</v>
      </c>
      <c r="DU23" s="54">
        <f>'1'!CE29-'1'!CD29</f>
        <v>-247654.10000000056</v>
      </c>
      <c r="DV23" s="54">
        <f>'1'!CF29-'1'!CE29</f>
        <v>329094.82799999975</v>
      </c>
      <c r="DW23" s="54">
        <f>'1'!CG29-'1'!CF29</f>
        <v>301068.29300000053</v>
      </c>
      <c r="DX23" s="54">
        <f>'1'!CH29-'1'!CG29</f>
        <v>-43653.966999999247</v>
      </c>
      <c r="DY23" s="54">
        <f>'1'!CI29-'1'!CH29</f>
        <v>-15861.876000000164</v>
      </c>
      <c r="DZ23" s="54">
        <f>'1'!CJ29-'1'!CI29</f>
        <v>-75219.162000000477</v>
      </c>
      <c r="EA23" s="54">
        <f>'1'!CK29-'1'!CJ29</f>
        <v>-318936.21499999985</v>
      </c>
      <c r="EB23" s="54">
        <f>'1'!CL29-'1'!CK29</f>
        <v>-248177.35700000077</v>
      </c>
      <c r="EC23" s="54">
        <f>'1'!CM29-'1'!CL29</f>
        <v>-637200.17899999954</v>
      </c>
      <c r="ED23" s="54">
        <f>'1'!CO29</f>
        <v>-125998.94214000006</v>
      </c>
      <c r="EE23" s="54">
        <f>'1'!CP29-'1'!CO29</f>
        <v>-147079.79073999997</v>
      </c>
      <c r="EF23" s="54">
        <f>'1'!CQ29-'1'!CP29</f>
        <v>-494211.51634999923</v>
      </c>
      <c r="EG23" s="54">
        <f>'1'!CR29-'1'!CQ29</f>
        <v>-217928.95407000044</v>
      </c>
      <c r="EH23" s="54">
        <f>'1'!CS29-'1'!CR29</f>
        <v>228195.7268699999</v>
      </c>
      <c r="EI23" s="54">
        <f>'1'!CT29-'1'!CS29</f>
        <v>64141.391549999826</v>
      </c>
      <c r="EJ23" s="54">
        <f>'1'!CU29-'1'!CT29</f>
        <v>-194247.37354000006</v>
      </c>
      <c r="EK23" s="54">
        <f>'1'!CV29-'1'!CU29</f>
        <v>75550.582869999111</v>
      </c>
      <c r="EL23" s="54">
        <f>'1'!CW29-'1'!CV29</f>
        <v>-298643.39599999972</v>
      </c>
      <c r="EM23" s="54">
        <f>'1'!CX29-'1'!CW29</f>
        <v>-354361.38324999996</v>
      </c>
      <c r="EN23" s="54">
        <f>'1'!CY29-'1'!CX29</f>
        <v>-223824.55796000082</v>
      </c>
      <c r="EO23" s="54">
        <f>'1'!CZ29-'1'!CY29</f>
        <v>-533754.77559999935</v>
      </c>
      <c r="EP23" s="54">
        <f>'1'!DB29</f>
        <v>-250336.72837999999</v>
      </c>
      <c r="EQ23" s="54">
        <f>'1'!DC29-'1'!DB29</f>
        <v>406343.11136999982</v>
      </c>
      <c r="ER23" s="54">
        <f>'1'!DD29-'1'!DC29</f>
        <v>-428038.28769999975</v>
      </c>
      <c r="ES23" s="54">
        <f>'1'!DE29-'1'!DD29</f>
        <v>-149196.59470000071</v>
      </c>
      <c r="ET23" s="54">
        <f>'1'!DF29-'1'!DE29</f>
        <v>215086.39373000152</v>
      </c>
      <c r="EU23" s="54">
        <f>'1'!DG29-'1'!DF29</f>
        <v>29455.148119999096</v>
      </c>
      <c r="EV23" s="54">
        <f>'1'!DH29-'1'!DG29</f>
        <v>-236396.11794999987</v>
      </c>
      <c r="EY23" s="66"/>
      <c r="EZ23" s="66"/>
      <c r="FA23" s="66"/>
      <c r="FB23" s="66"/>
      <c r="FC23" s="66"/>
      <c r="FD23" s="66"/>
      <c r="FE23" s="66"/>
      <c r="FF23" s="66"/>
      <c r="FG23" s="66"/>
      <c r="FH23" s="66"/>
      <c r="FI23" s="66"/>
      <c r="FJ23" s="66"/>
      <c r="FK23" s="66"/>
      <c r="FL23" s="66"/>
      <c r="FM23" s="66"/>
      <c r="FN23" s="66"/>
      <c r="FO23" s="66"/>
      <c r="FP23" s="66"/>
      <c r="FQ23" s="66"/>
      <c r="FR23" s="66"/>
      <c r="FS23" s="66"/>
      <c r="FT23" s="66"/>
      <c r="FU23" s="66"/>
      <c r="FV23" s="66"/>
      <c r="FW23" s="66"/>
      <c r="FX23" s="66"/>
      <c r="FY23" s="66"/>
      <c r="FZ23" s="66"/>
      <c r="GA23" s="66"/>
      <c r="GB23" s="66"/>
      <c r="GC23" s="66"/>
    </row>
    <row r="24" spans="1:185" s="46" customFormat="1" ht="15" customHeight="1">
      <c r="A24" s="23" t="s">
        <v>2</v>
      </c>
      <c r="B24" s="20">
        <v>412613.54296999995</v>
      </c>
      <c r="C24" s="20">
        <v>411497.50640000001</v>
      </c>
      <c r="D24" s="20">
        <v>327992.19688</v>
      </c>
      <c r="E24" s="20">
        <v>426426.36924999993</v>
      </c>
      <c r="F24" s="20">
        <v>397369.28822000005</v>
      </c>
      <c r="G24" s="20">
        <v>644178.67434000003</v>
      </c>
      <c r="H24" s="20">
        <v>395509.60417000001</v>
      </c>
      <c r="I24" s="20">
        <v>391016.52710000006</v>
      </c>
      <c r="J24" s="20">
        <v>391901.4853</v>
      </c>
      <c r="K24" s="20">
        <v>388939.91963999998</v>
      </c>
      <c r="L24" s="20">
        <v>335980.21777999995</v>
      </c>
      <c r="M24" s="20">
        <v>414993.87068000005</v>
      </c>
      <c r="N24" s="20">
        <v>462287.03428999992</v>
      </c>
      <c r="O24" s="20">
        <v>368433.67843999999</v>
      </c>
      <c r="P24" s="20">
        <v>458990.27616000001</v>
      </c>
      <c r="Q24" s="20">
        <v>570221.99700000009</v>
      </c>
      <c r="R24" s="20">
        <v>421858.61178999994</v>
      </c>
      <c r="S24" s="20">
        <v>482524.98496999999</v>
      </c>
      <c r="T24" s="20">
        <v>341698.55206000002</v>
      </c>
      <c r="U24" s="20">
        <v>484542.98664000002</v>
      </c>
      <c r="V24" s="20">
        <v>336446.15120000008</v>
      </c>
      <c r="W24" s="20">
        <v>430740.87604000006</v>
      </c>
      <c r="X24" s="20">
        <v>350961.97086</v>
      </c>
      <c r="Y24" s="20">
        <v>383890.46169999999</v>
      </c>
      <c r="Z24" s="21">
        <v>434937.12727</v>
      </c>
      <c r="AA24" s="21">
        <v>494269.84810000006</v>
      </c>
      <c r="AB24" s="21">
        <v>337456.53283999994</v>
      </c>
      <c r="AC24" s="21">
        <v>443685.50813000003</v>
      </c>
      <c r="AD24" s="21">
        <v>511692.67983000004</v>
      </c>
      <c r="AE24" s="21">
        <v>419854.78895999998</v>
      </c>
      <c r="AF24" s="21">
        <v>404472.47117999993</v>
      </c>
      <c r="AG24" s="21">
        <v>400050.71114999999</v>
      </c>
      <c r="AH24" s="7">
        <v>418357.49152000004</v>
      </c>
      <c r="AI24" s="7">
        <v>431557.03761000006</v>
      </c>
      <c r="AJ24" s="7">
        <v>390508.91874000005</v>
      </c>
      <c r="AK24" s="7">
        <v>474562.10887</v>
      </c>
      <c r="AL24" s="7">
        <v>482558.19820999994</v>
      </c>
      <c r="AM24" s="7">
        <v>458057.34766000003</v>
      </c>
      <c r="AN24" s="7">
        <v>366726.60220999998</v>
      </c>
      <c r="AO24" s="7">
        <v>492386.38163999998</v>
      </c>
      <c r="AP24" s="7">
        <v>470644.80538999999</v>
      </c>
      <c r="AQ24" s="7">
        <v>517943.97688999993</v>
      </c>
      <c r="AR24" s="7">
        <v>420757.13772999996</v>
      </c>
      <c r="AS24" s="7">
        <v>429303.01482999988</v>
      </c>
      <c r="AT24" s="7">
        <v>398493.05906</v>
      </c>
      <c r="AU24" s="7">
        <v>459356.64295999991</v>
      </c>
      <c r="AV24" s="7">
        <v>390525.75997999997</v>
      </c>
      <c r="AW24" s="7">
        <v>500640.11547000002</v>
      </c>
      <c r="AX24" s="7">
        <v>534575.73921999999</v>
      </c>
      <c r="AY24" s="7">
        <v>557605.52087999997</v>
      </c>
      <c r="AZ24" s="7">
        <v>400989.98840999999</v>
      </c>
      <c r="BA24" s="7">
        <v>558541.78144000005</v>
      </c>
      <c r="BB24" s="7">
        <v>678235.02790999995</v>
      </c>
      <c r="BC24" s="7">
        <v>520801.06751000002</v>
      </c>
      <c r="BD24" s="7">
        <v>669475.11973000003</v>
      </c>
      <c r="BE24" s="7">
        <v>492316.83273999998</v>
      </c>
      <c r="BF24" s="7">
        <v>438179.69274000003</v>
      </c>
      <c r="BG24" s="7">
        <v>494905.39918000001</v>
      </c>
      <c r="BH24" s="7">
        <v>489410.80917000002</v>
      </c>
      <c r="BI24" s="7">
        <v>489295.09207000025</v>
      </c>
      <c r="BJ24" s="7">
        <v>592846.61899999995</v>
      </c>
      <c r="BK24" s="7">
        <v>609456.42636000016</v>
      </c>
      <c r="BL24" s="7">
        <v>364332.63563999999</v>
      </c>
      <c r="BM24" s="7">
        <v>606454.19455999997</v>
      </c>
      <c r="BN24" s="7">
        <f>'1'!S30-'1'!R30</f>
        <v>687359.33943999978</v>
      </c>
      <c r="BO24" s="7">
        <f>'1'!T30-'1'!S30</f>
        <v>693121.78500000015</v>
      </c>
      <c r="BP24" s="7">
        <f>'1'!U30-'1'!T30</f>
        <v>450770.71600000001</v>
      </c>
      <c r="BQ24" s="7">
        <f>'1'!V30-'1'!U30</f>
        <v>414515.42499999981</v>
      </c>
      <c r="BR24" s="7">
        <f>'1'!W30-'1'!V30</f>
        <v>385164.82400000002</v>
      </c>
      <c r="BS24" s="7">
        <f>'1'!X30-'1'!W30</f>
        <v>575424.58999999985</v>
      </c>
      <c r="BT24" s="7">
        <f>'1'!Y30-'1'!X30</f>
        <v>422027.28500000015</v>
      </c>
      <c r="BU24" s="7">
        <f>'1'!Z30-'1'!Y30</f>
        <v>629644.76800000016</v>
      </c>
      <c r="BV24" s="7">
        <v>537722.94799999997</v>
      </c>
      <c r="BW24" s="7">
        <f>'1'!AC30-'1'!AB30</f>
        <v>582097.98899999994</v>
      </c>
      <c r="BX24" s="7">
        <f>'1'!AD30-'1'!AC30</f>
        <v>436083.22386000003</v>
      </c>
      <c r="BY24" s="7">
        <f>'1'!AE30-'1'!AD30</f>
        <v>645256.27613999997</v>
      </c>
      <c r="BZ24" s="7">
        <f>'1'!AF30-'1'!AE30</f>
        <v>572854.6903400002</v>
      </c>
      <c r="CA24" s="7">
        <f>'1'!AG30-'1'!AF30</f>
        <v>461405.87265999988</v>
      </c>
      <c r="CB24" s="7">
        <f>'1'!AH30-'1'!AG30</f>
        <v>709928.08499999996</v>
      </c>
      <c r="CC24" s="7">
        <f>'1'!AI30-'1'!AH30</f>
        <v>472605.6950000003</v>
      </c>
      <c r="CD24" s="7">
        <f>'1'!AJ30-'1'!AI30</f>
        <v>446749.91500000004</v>
      </c>
      <c r="CE24" s="7">
        <f>'1'!AK30-'1'!AJ30</f>
        <v>490335.51499999966</v>
      </c>
      <c r="CF24" s="7">
        <f>'1'!AL30-'1'!AK30</f>
        <v>468560.22200000007</v>
      </c>
      <c r="CG24" s="7">
        <f>'1'!AM30-'1'!AL30</f>
        <v>601482.06933000032</v>
      </c>
      <c r="CH24" s="7">
        <v>713014.63199999998</v>
      </c>
      <c r="CI24" s="7">
        <f>'1'!AP30-'1'!AO30</f>
        <v>644814.95699999994</v>
      </c>
      <c r="CJ24" s="7">
        <f>'1'!AQ30-'1'!AP30</f>
        <v>330339.75800000015</v>
      </c>
      <c r="CK24" s="7">
        <f>'1'!AR30-'1'!AQ30</f>
        <v>785719.32400000002</v>
      </c>
      <c r="CL24" s="7">
        <f>'1'!AS30-'1'!AR30</f>
        <v>665234.2209999999</v>
      </c>
      <c r="CM24" s="7">
        <f>'1'!AT30-'1'!AS30</f>
        <v>589166.17700000014</v>
      </c>
      <c r="CN24" s="7">
        <f>'1'!AU30-'1'!AT30</f>
        <v>717458.08799999952</v>
      </c>
      <c r="CO24" s="7">
        <f>'1'!AV30-'1'!AU30</f>
        <v>557138.06199999992</v>
      </c>
      <c r="CP24" s="7">
        <f>'1'!AW30-'1'!AV30</f>
        <v>764496.89700000081</v>
      </c>
      <c r="CQ24" s="7">
        <f>'1'!AX30-'1'!AW30</f>
        <v>516906.96499999985</v>
      </c>
      <c r="CR24" s="7">
        <f>'1'!AY30-'1'!AX30</f>
        <v>662718.63200000022</v>
      </c>
      <c r="CS24" s="7">
        <f>'1'!AZ30-'1'!AY30</f>
        <v>502474.4879999999</v>
      </c>
      <c r="CT24" s="7">
        <v>666661.35199999996</v>
      </c>
      <c r="CU24" s="7">
        <f>'1'!BC30-'1'!BB30</f>
        <v>687779.9310000001</v>
      </c>
      <c r="CV24" s="7">
        <f>'1'!BD30-'1'!BC30</f>
        <v>487592.33400000003</v>
      </c>
      <c r="CW24" s="7">
        <f>'1'!BE30-'1'!BD30</f>
        <v>787062.79</v>
      </c>
      <c r="CX24" s="7">
        <f>'1'!BF30-'1'!BE30</f>
        <v>644004.07299999986</v>
      </c>
      <c r="CY24" s="7">
        <f>'1'!BG30-'1'!BF30</f>
        <v>620273.48499999987</v>
      </c>
      <c r="CZ24" s="7">
        <f>'1'!BH30-'1'!BG30</f>
        <v>713962.30099999998</v>
      </c>
      <c r="DA24" s="7">
        <f>'1'!BI30-'1'!BH30</f>
        <v>685067.7650000006</v>
      </c>
      <c r="DB24" s="7">
        <f>'1'!BJ30-'1'!BI30</f>
        <v>556332.3189999992</v>
      </c>
      <c r="DC24" s="7">
        <f>'1'!BK30-'1'!BJ30</f>
        <v>794230.20200000051</v>
      </c>
      <c r="DD24" s="7">
        <f>'1'!BL30-'1'!BK30</f>
        <v>747989.33600000013</v>
      </c>
      <c r="DE24" s="7">
        <f>'1'!BM30-'1'!BL30</f>
        <v>900960.99899999984</v>
      </c>
      <c r="DF24" s="7">
        <v>719939.35</v>
      </c>
      <c r="DG24" s="115">
        <f>'1'!BP30-'1'!BO30</f>
        <v>791517.95499999996</v>
      </c>
      <c r="DH24" s="115">
        <f>'1'!BQ30-'1'!BP30</f>
        <v>533224.21400000015</v>
      </c>
      <c r="DI24" s="115">
        <f>'1'!BR30-'1'!BQ30</f>
        <v>895993.7359999998</v>
      </c>
      <c r="DJ24" s="115">
        <f>'1'!BS30-'1'!BR30</f>
        <v>845157.91200000001</v>
      </c>
      <c r="DK24" s="115">
        <f>'1'!BT30-'1'!BS30</f>
        <v>760374.0129999998</v>
      </c>
      <c r="DL24" s="115">
        <f>'1'!BU30-'1'!BT30</f>
        <v>871539.88400000054</v>
      </c>
      <c r="DM24" s="115">
        <f>'1'!BV30-'1'!BU30</f>
        <v>678022.74699999951</v>
      </c>
      <c r="DN24" s="115">
        <f>'1'!BW30-'1'!BV30</f>
        <v>678643.79200000037</v>
      </c>
      <c r="DO24" s="115">
        <f>'1'!BX30-'1'!BW30</f>
        <v>689799.53000000026</v>
      </c>
      <c r="DP24" s="115">
        <f>'1'!BY30-'1'!BX30</f>
        <v>777169.42199999932</v>
      </c>
      <c r="DQ24" s="115">
        <f>'1'!BZ30-'1'!BY30</f>
        <v>799044.44299999997</v>
      </c>
      <c r="DR24" s="115">
        <v>921874.01300000004</v>
      </c>
      <c r="DS24" s="115">
        <f>'1'!CC30-'1'!CB30</f>
        <v>745501.69200000004</v>
      </c>
      <c r="DT24" s="115">
        <f>'1'!CD30-'1'!CC30</f>
        <v>701863.54900000012</v>
      </c>
      <c r="DU24" s="115">
        <f>'1'!CE30-'1'!CD30</f>
        <v>828734.15099999961</v>
      </c>
      <c r="DV24" s="115">
        <f>'1'!CF30-'1'!CE30</f>
        <v>1112888.0019999999</v>
      </c>
      <c r="DW24" s="115">
        <f>'1'!CG30-'1'!CF30</f>
        <v>1214401.3590000002</v>
      </c>
      <c r="DX24" s="115">
        <f>'1'!CH30-'1'!CG30</f>
        <v>876243.38400000054</v>
      </c>
      <c r="DY24" s="115">
        <f>'1'!CI30-'1'!CH30</f>
        <v>715432.98199999984</v>
      </c>
      <c r="DZ24" s="115">
        <f>'1'!CJ30-'1'!CI30</f>
        <v>684282.52099999972</v>
      </c>
      <c r="EA24" s="115">
        <f>'1'!CK30-'1'!CJ30</f>
        <v>685390.35200000089</v>
      </c>
      <c r="EB24" s="115">
        <f>'1'!CL30-'1'!CK30</f>
        <v>639433.59499999881</v>
      </c>
      <c r="EC24" s="115">
        <f>'1'!CM30-'1'!CL30</f>
        <v>877363.22499999963</v>
      </c>
      <c r="ED24" s="115">
        <f>'1'!CO30</f>
        <v>821224.52960000001</v>
      </c>
      <c r="EE24" s="115">
        <f>'1'!CP30-'1'!CO30</f>
        <v>845118.13847999997</v>
      </c>
      <c r="EF24" s="115">
        <f>'1'!CQ30-'1'!CP30</f>
        <v>541443.01641000039</v>
      </c>
      <c r="EG24" s="115">
        <f>'1'!CR30-'1'!CQ30</f>
        <v>810168.96401999984</v>
      </c>
      <c r="EH24" s="115">
        <f>'1'!CS30-'1'!CR30</f>
        <v>1133027.2438799995</v>
      </c>
      <c r="EI24" s="115">
        <f>'1'!CT30-'1'!CS30</f>
        <v>1117744.1013000002</v>
      </c>
      <c r="EJ24" s="115">
        <f>'1'!CU30-'1'!CT30</f>
        <v>765816.7826000005</v>
      </c>
      <c r="EK24" s="115">
        <f>'1'!CV30-'1'!CU30</f>
        <v>900524.82335999887</v>
      </c>
      <c r="EL24" s="115">
        <f>'1'!CW30-'1'!CV30</f>
        <v>667612.6850800002</v>
      </c>
      <c r="EM24" s="115">
        <f>'1'!CX30-'1'!CW30</f>
        <v>692132.44983000122</v>
      </c>
      <c r="EN24" s="115">
        <f>'1'!CY30-'1'!CX30</f>
        <v>664955.67294999864</v>
      </c>
      <c r="EO24" s="115">
        <f>'1'!CZ30-'1'!CY30</f>
        <v>1156648.6786400005</v>
      </c>
      <c r="EP24" s="115">
        <f>'1'!DB30</f>
        <v>834086.23502000002</v>
      </c>
      <c r="EQ24" s="115">
        <f>'1'!DC30-'1'!DB30</f>
        <v>1392742.4127699998</v>
      </c>
      <c r="ER24" s="115">
        <f>'1'!DD30-'1'!DC30</f>
        <v>588517.87928000046</v>
      </c>
      <c r="ES24" s="115">
        <f>'1'!DE30-'1'!DD30</f>
        <v>783290.9747999995</v>
      </c>
      <c r="ET24" s="115">
        <f>'1'!DF30-'1'!DE30</f>
        <v>1205589.7364000008</v>
      </c>
      <c r="EU24" s="115">
        <f>'1'!DG30-'1'!DF30</f>
        <v>1119878.0918799993</v>
      </c>
      <c r="EV24" s="115">
        <f>'1'!DH30-'1'!DG30</f>
        <v>840241.00327000022</v>
      </c>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row>
    <row r="25" spans="1:185" s="46" customFormat="1" ht="15" customHeight="1">
      <c r="A25" s="23" t="s">
        <v>7</v>
      </c>
      <c r="B25" s="20">
        <v>379352.78739999997</v>
      </c>
      <c r="C25" s="20">
        <v>445069.26723000006</v>
      </c>
      <c r="D25" s="20">
        <v>407938.73073999997</v>
      </c>
      <c r="E25" s="20">
        <v>427512.08747000003</v>
      </c>
      <c r="F25" s="20">
        <v>352681.35777000006</v>
      </c>
      <c r="G25" s="20">
        <v>426935.98931000009</v>
      </c>
      <c r="H25" s="20">
        <v>403699.04085999995</v>
      </c>
      <c r="I25" s="20">
        <v>367060.14042999997</v>
      </c>
      <c r="J25" s="20">
        <v>369460.09510999999</v>
      </c>
      <c r="K25" s="20">
        <v>463696.45745999989</v>
      </c>
      <c r="L25" s="20">
        <v>494877.64147999999</v>
      </c>
      <c r="M25" s="20">
        <v>805904.28184000007</v>
      </c>
      <c r="N25" s="20">
        <v>420794.94959999993</v>
      </c>
      <c r="O25" s="20">
        <v>460176.72369999997</v>
      </c>
      <c r="P25" s="20">
        <v>425026.18030000007</v>
      </c>
      <c r="Q25" s="20">
        <v>452582.66867999989</v>
      </c>
      <c r="R25" s="20">
        <v>368697.68630999996</v>
      </c>
      <c r="S25" s="20">
        <v>486232.66709000006</v>
      </c>
      <c r="T25" s="20">
        <v>435667.16904999991</v>
      </c>
      <c r="U25" s="20">
        <v>397007.14903999993</v>
      </c>
      <c r="V25" s="20">
        <v>386624.80010999995</v>
      </c>
      <c r="W25" s="20">
        <v>409687.47738</v>
      </c>
      <c r="X25" s="20">
        <v>447786.18174000009</v>
      </c>
      <c r="Y25" s="20">
        <v>789130.43163000001</v>
      </c>
      <c r="Z25" s="21">
        <v>388337.59250000003</v>
      </c>
      <c r="AA25" s="21">
        <v>468191.93805</v>
      </c>
      <c r="AB25" s="21">
        <v>461989.31341999996</v>
      </c>
      <c r="AC25" s="21">
        <v>495991.33423999994</v>
      </c>
      <c r="AD25" s="21">
        <v>371523.80509999994</v>
      </c>
      <c r="AE25" s="21">
        <v>416406.64285999996</v>
      </c>
      <c r="AF25" s="21">
        <v>407172.6238</v>
      </c>
      <c r="AG25" s="21">
        <v>368269.85476999992</v>
      </c>
      <c r="AH25" s="7">
        <v>345547.58761000005</v>
      </c>
      <c r="AI25" s="7">
        <v>516683.77352000005</v>
      </c>
      <c r="AJ25" s="7">
        <v>480104.04</v>
      </c>
      <c r="AK25" s="7">
        <v>680584.88181000017</v>
      </c>
      <c r="AL25" s="7">
        <v>385506.79494999995</v>
      </c>
      <c r="AM25" s="7">
        <v>458340.12303000008</v>
      </c>
      <c r="AN25" s="7">
        <v>427090.50953000004</v>
      </c>
      <c r="AO25" s="7">
        <v>428925.86042999994</v>
      </c>
      <c r="AP25" s="7">
        <v>438023.09750999999</v>
      </c>
      <c r="AQ25" s="7">
        <v>529857.89801000012</v>
      </c>
      <c r="AR25" s="7">
        <v>406596.24608000007</v>
      </c>
      <c r="AS25" s="7">
        <v>375457.68241000007</v>
      </c>
      <c r="AT25" s="7">
        <v>396684.58600000007</v>
      </c>
      <c r="AU25" s="7">
        <v>573136.53649999981</v>
      </c>
      <c r="AV25" s="7">
        <v>529635.42767000012</v>
      </c>
      <c r="AW25" s="7">
        <v>795066.07842999999</v>
      </c>
      <c r="AX25" s="7">
        <v>406121.26248999999</v>
      </c>
      <c r="AY25" s="7">
        <v>451625.50091</v>
      </c>
      <c r="AZ25" s="7">
        <v>465017.33398</v>
      </c>
      <c r="BA25" s="7">
        <v>574173.04639000003</v>
      </c>
      <c r="BB25" s="7">
        <v>447843.60551999998</v>
      </c>
      <c r="BC25" s="7">
        <v>565389.58499999996</v>
      </c>
      <c r="BD25" s="7">
        <v>502740.71925000002</v>
      </c>
      <c r="BE25" s="7">
        <v>480961.41625000001</v>
      </c>
      <c r="BF25" s="7">
        <v>480947.05900000001</v>
      </c>
      <c r="BG25" s="7">
        <v>679927.01202999998</v>
      </c>
      <c r="BH25" s="7">
        <v>634015.20392999996</v>
      </c>
      <c r="BI25" s="7">
        <v>937719.79824999906</v>
      </c>
      <c r="BJ25" s="7">
        <v>539243.79799999995</v>
      </c>
      <c r="BK25" s="7">
        <v>563272.48399999994</v>
      </c>
      <c r="BL25" s="7">
        <v>471801.41100000008</v>
      </c>
      <c r="BM25" s="7">
        <v>555123.33100000024</v>
      </c>
      <c r="BN25" s="7">
        <f>'1'!S31-'1'!R31</f>
        <v>484784.35499999998</v>
      </c>
      <c r="BO25" s="7">
        <f>'1'!T31-'1'!S31</f>
        <v>527467.62099999981</v>
      </c>
      <c r="BP25" s="7">
        <f>'1'!U31-'1'!T31</f>
        <v>572226.3731999998</v>
      </c>
      <c r="BQ25" s="7">
        <f>'1'!V31-'1'!U31</f>
        <v>477058.63679999998</v>
      </c>
      <c r="BR25" s="7">
        <f>'1'!W31-'1'!V31</f>
        <v>484407.47400000039</v>
      </c>
      <c r="BS25" s="7">
        <f>'1'!X31-'1'!W31</f>
        <v>681995.50399999972</v>
      </c>
      <c r="BT25" s="7">
        <f>'1'!Y31-'1'!X31</f>
        <v>584778.12899999972</v>
      </c>
      <c r="BU25" s="7">
        <f>'1'!Z31-'1'!Y31</f>
        <v>974003.67700000014</v>
      </c>
      <c r="BV25" s="7">
        <v>564731.73100000003</v>
      </c>
      <c r="BW25" s="7">
        <f>'1'!AC31-'1'!AB31</f>
        <v>564358.72999999986</v>
      </c>
      <c r="BX25" s="7">
        <f>'1'!AD31-'1'!AC31</f>
        <v>528520.58600000013</v>
      </c>
      <c r="BY25" s="7">
        <f>'1'!AE31-'1'!AD31</f>
        <v>713875.03399999975</v>
      </c>
      <c r="BZ25" s="7">
        <f>'1'!AF31-'1'!AE31</f>
        <v>494549.63200000022</v>
      </c>
      <c r="CA25" s="7">
        <f>'1'!AG31-'1'!AF31</f>
        <v>578082.28700000001</v>
      </c>
      <c r="CB25" s="7">
        <f>'1'!AH31-'1'!AG31</f>
        <v>616330.61700000009</v>
      </c>
      <c r="CC25" s="7">
        <f>'1'!AI31-'1'!AH31</f>
        <v>573848.6259999997</v>
      </c>
      <c r="CD25" s="7">
        <f>'1'!AJ31-'1'!AI31</f>
        <v>565735.17300000042</v>
      </c>
      <c r="CE25" s="7">
        <f>'1'!AK31-'1'!AJ31</f>
        <v>755917.60199999996</v>
      </c>
      <c r="CF25" s="7">
        <f>'1'!AL31-'1'!AK31</f>
        <v>576740.78000000026</v>
      </c>
      <c r="CG25" s="7">
        <f>'1'!AM31-'1'!AL31</f>
        <v>1134353.7279999992</v>
      </c>
      <c r="CH25" s="7">
        <v>567519.18099999998</v>
      </c>
      <c r="CI25" s="7">
        <f>'1'!AP31-'1'!AO31</f>
        <v>649337.38900000008</v>
      </c>
      <c r="CJ25" s="7">
        <f>'1'!AQ31-'1'!AP31</f>
        <v>1024865.74</v>
      </c>
      <c r="CK25" s="7">
        <f>'1'!AR31-'1'!AQ31</f>
        <v>890597.12199999997</v>
      </c>
      <c r="CL25" s="7">
        <f>'1'!AS31-'1'!AR31</f>
        <v>666390.63199999975</v>
      </c>
      <c r="CM25" s="7">
        <f>'1'!AT31-'1'!AS31</f>
        <v>868998.41800000006</v>
      </c>
      <c r="CN25" s="7">
        <f>'1'!AU31-'1'!AT31</f>
        <v>698429.77699999977</v>
      </c>
      <c r="CO25" s="7">
        <f>'1'!AV31-'1'!AU31</f>
        <v>587185.29499999993</v>
      </c>
      <c r="CP25" s="7">
        <f>'1'!AW31-'1'!AV31</f>
        <v>652999.8200000003</v>
      </c>
      <c r="CQ25" s="7">
        <f>'1'!AX31-'1'!AW31</f>
        <v>795708.65600000042</v>
      </c>
      <c r="CR25" s="7">
        <f>'1'!AY31-'1'!AX31</f>
        <v>700002.35900000017</v>
      </c>
      <c r="CS25" s="7">
        <f>'1'!AZ31-'1'!AY31</f>
        <v>1308324.6059999987</v>
      </c>
      <c r="CT25" s="7">
        <v>689237.96499999997</v>
      </c>
      <c r="CU25" s="7">
        <f>'1'!BC31-'1'!BB31</f>
        <v>769410.97499999998</v>
      </c>
      <c r="CV25" s="7">
        <f>'1'!BD31-'1'!BC31</f>
        <v>784728.56</v>
      </c>
      <c r="CW25" s="7">
        <f>'1'!BE31-'1'!BD31</f>
        <v>792151.69299999997</v>
      </c>
      <c r="CX25" s="7">
        <f>'1'!BF31-'1'!BE31</f>
        <v>756370.20399999991</v>
      </c>
      <c r="CY25" s="7">
        <f>'1'!BG31-'1'!BF31</f>
        <v>721608.29700000025</v>
      </c>
      <c r="CZ25" s="7">
        <f>'1'!BH31-'1'!BG31</f>
        <v>745948.55599999987</v>
      </c>
      <c r="DA25" s="7">
        <f>'1'!BI31-'1'!BH31</f>
        <v>628998.79499999993</v>
      </c>
      <c r="DB25" s="7">
        <f>'1'!BJ31-'1'!BI31</f>
        <v>879428.12800000049</v>
      </c>
      <c r="DC25" s="7">
        <f>'1'!BK31-'1'!BJ31</f>
        <v>1117520.5919999992</v>
      </c>
      <c r="DD25" s="7">
        <f>'1'!BL31-'1'!BK31</f>
        <v>745480.91700000037</v>
      </c>
      <c r="DE25" s="7">
        <f>'1'!BM31-'1'!BL31</f>
        <v>1550280.2949999999</v>
      </c>
      <c r="DF25" s="7">
        <v>614585.63199999998</v>
      </c>
      <c r="DG25" s="115">
        <f>'1'!BP31-'1'!BO31</f>
        <v>903091.85199999996</v>
      </c>
      <c r="DH25" s="115">
        <f>'1'!BQ31-'1'!BP31</f>
        <v>801670.58800000022</v>
      </c>
      <c r="DI25" s="115">
        <f>'1'!BR31-'1'!BQ31</f>
        <v>815830.90100000007</v>
      </c>
      <c r="DJ25" s="115">
        <f>'1'!BS31-'1'!BR31</f>
        <v>775435.19699999969</v>
      </c>
      <c r="DK25" s="115">
        <f>'1'!BT31-'1'!BS31</f>
        <v>872192.84400000051</v>
      </c>
      <c r="DL25" s="115">
        <f>'1'!BU31-'1'!BT31</f>
        <v>775102.30700000003</v>
      </c>
      <c r="DM25" s="115">
        <f>'1'!BV31-'1'!BU31</f>
        <v>704584.15599999949</v>
      </c>
      <c r="DN25" s="115">
        <f>'1'!BW31-'1'!BV31</f>
        <v>743373.68900000025</v>
      </c>
      <c r="DO25" s="115">
        <f>'1'!BX31-'1'!BW31</f>
        <v>943256.70699999947</v>
      </c>
      <c r="DP25" s="115">
        <f>'1'!BY31-'1'!BX31</f>
        <v>864698.93900000118</v>
      </c>
      <c r="DQ25" s="115">
        <f>'1'!BZ31-'1'!BY31</f>
        <v>1757604.8879999984</v>
      </c>
      <c r="DR25" s="115">
        <v>809894.40800000005</v>
      </c>
      <c r="DS25" s="115">
        <f>'1'!CC31-'1'!CB31</f>
        <v>879752.527</v>
      </c>
      <c r="DT25" s="115">
        <f>'1'!CD31-'1'!CC31</f>
        <v>805671.92599999998</v>
      </c>
      <c r="DU25" s="115">
        <f>'1'!CE31-'1'!CD31</f>
        <v>1076388.2510000002</v>
      </c>
      <c r="DV25" s="115">
        <f>'1'!CF31-'1'!CE31</f>
        <v>783793.17400000012</v>
      </c>
      <c r="DW25" s="115">
        <f>'1'!CG31-'1'!CF31</f>
        <v>913333.06599999964</v>
      </c>
      <c r="DX25" s="115">
        <f>'1'!CH31-'1'!CG31</f>
        <v>919897.35099999979</v>
      </c>
      <c r="DY25" s="115">
        <f>'1'!CI31-'1'!CH31</f>
        <v>731294.85800000001</v>
      </c>
      <c r="DZ25" s="115">
        <f>'1'!CJ31-'1'!CI31</f>
        <v>759501.68300000019</v>
      </c>
      <c r="EA25" s="115">
        <f>'1'!CK31-'1'!CJ31</f>
        <v>1004326.5670000007</v>
      </c>
      <c r="EB25" s="115">
        <f>'1'!CL31-'1'!CK31</f>
        <v>887610.95199999958</v>
      </c>
      <c r="EC25" s="115">
        <f>'1'!CM31-'1'!CL31</f>
        <v>1514563.4039999992</v>
      </c>
      <c r="ED25" s="115">
        <f>'1'!CO31</f>
        <v>947223.47174000007</v>
      </c>
      <c r="EE25" s="115">
        <f>'1'!CP31-'1'!CO31</f>
        <v>992197.92921999993</v>
      </c>
      <c r="EF25" s="115">
        <f>'1'!CQ31-'1'!CP31</f>
        <v>1035654.5327599996</v>
      </c>
      <c r="EG25" s="115">
        <f>'1'!CR31-'1'!CQ31</f>
        <v>1028097.9180900003</v>
      </c>
      <c r="EH25" s="115">
        <f>'1'!CS31-'1'!CR31</f>
        <v>904831.5170099996</v>
      </c>
      <c r="EI25" s="115">
        <f>'1'!CT31-'1'!CS31</f>
        <v>1053602.7097500004</v>
      </c>
      <c r="EJ25" s="115">
        <f>'1'!CU31-'1'!CT31</f>
        <v>960064.15614000056</v>
      </c>
      <c r="EK25" s="115">
        <f>'1'!CV31-'1'!CU31</f>
        <v>824974.24048999976</v>
      </c>
      <c r="EL25" s="115">
        <f>'1'!CW31-'1'!CV31</f>
        <v>966256.08107999992</v>
      </c>
      <c r="EM25" s="115">
        <f>'1'!CX31-'1'!CW31</f>
        <v>1046493.8330800012</v>
      </c>
      <c r="EN25" s="115">
        <f>'1'!CY31-'1'!CX31</f>
        <v>888780.23090999946</v>
      </c>
      <c r="EO25" s="115">
        <f>'1'!CZ31-'1'!CY31</f>
        <v>1690403.4542399999</v>
      </c>
      <c r="EP25" s="115">
        <f>'1'!DB31</f>
        <v>1084422.9634</v>
      </c>
      <c r="EQ25" s="115">
        <f>'1'!DC31-'1'!DB31</f>
        <v>986399.3014</v>
      </c>
      <c r="ER25" s="115">
        <f>'1'!DD31-'1'!DC31</f>
        <v>1016556.1669800002</v>
      </c>
      <c r="ES25" s="115">
        <f>'1'!DE31-'1'!DD31</f>
        <v>932487.56950000022</v>
      </c>
      <c r="ET25" s="115">
        <f>'1'!DF31-'1'!DE31</f>
        <v>990503.34266999923</v>
      </c>
      <c r="EU25" s="115">
        <f>'1'!DG31-'1'!DF31</f>
        <v>1090422.9437600002</v>
      </c>
      <c r="EV25" s="115">
        <f>'1'!DH31-'1'!DG31</f>
        <v>1076637.1212200001</v>
      </c>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row>
    <row r="26" spans="1:185" s="49" customFormat="1" ht="15" customHeight="1">
      <c r="A26" s="22" t="s">
        <v>17</v>
      </c>
      <c r="B26" s="4">
        <f t="shared" ref="B26:M26" si="18">B27-B28</f>
        <v>28085.940999999992</v>
      </c>
      <c r="C26" s="4">
        <f t="shared" si="18"/>
        <v>-2209.6659999999974</v>
      </c>
      <c r="D26" s="4">
        <f t="shared" si="18"/>
        <v>-2076.3969999999972</v>
      </c>
      <c r="E26" s="4">
        <f t="shared" si="18"/>
        <v>-25772.334000000003</v>
      </c>
      <c r="F26" s="4">
        <f t="shared" si="18"/>
        <v>46831.74199999994</v>
      </c>
      <c r="G26" s="4">
        <f t="shared" si="18"/>
        <v>3166.2689999999711</v>
      </c>
      <c r="H26" s="4">
        <f t="shared" si="18"/>
        <v>29314.533579999959</v>
      </c>
      <c r="I26" s="4">
        <f t="shared" si="18"/>
        <v>18834.974999999977</v>
      </c>
      <c r="J26" s="4">
        <f t="shared" si="18"/>
        <v>-7998.9459900000074</v>
      </c>
      <c r="K26" s="4">
        <f t="shared" si="18"/>
        <v>15404.581549999944</v>
      </c>
      <c r="L26" s="4">
        <f t="shared" si="18"/>
        <v>3880.22199000002</v>
      </c>
      <c r="M26" s="4">
        <f t="shared" si="18"/>
        <v>-7109.0895699999237</v>
      </c>
      <c r="N26" s="4">
        <f t="shared" ref="N26:W26" si="19">N27-N28</f>
        <v>30293.167959999992</v>
      </c>
      <c r="O26" s="4">
        <f t="shared" si="19"/>
        <v>-3741.2102699999814</v>
      </c>
      <c r="P26" s="4">
        <f t="shared" si="19"/>
        <v>-35745.109509999893</v>
      </c>
      <c r="Q26" s="4">
        <f t="shared" si="19"/>
        <v>10894.002750000014</v>
      </c>
      <c r="R26" s="4">
        <f t="shared" si="19"/>
        <v>39042.931069999991</v>
      </c>
      <c r="S26" s="4">
        <f t="shared" si="19"/>
        <v>-19439.325179999956</v>
      </c>
      <c r="T26" s="4">
        <f t="shared" si="19"/>
        <v>33475.480979999935</v>
      </c>
      <c r="U26" s="4">
        <f t="shared" si="19"/>
        <v>26066.225219999964</v>
      </c>
      <c r="V26" s="4">
        <f t="shared" si="19"/>
        <v>-19741.605299999967</v>
      </c>
      <c r="W26" s="4">
        <f t="shared" si="19"/>
        <v>24224.396609999938</v>
      </c>
      <c r="X26" s="4">
        <v>-798.6492900000012</v>
      </c>
      <c r="Y26" s="4">
        <v>6601.6457899999514</v>
      </c>
      <c r="Z26" s="15">
        <f>Z27-Z28</f>
        <v>9605.6477000000014</v>
      </c>
      <c r="AA26" s="15">
        <v>-10143.730570000072</v>
      </c>
      <c r="AB26" s="15">
        <v>-25834.440159999929</v>
      </c>
      <c r="AC26" s="15">
        <v>12010.921940000029</v>
      </c>
      <c r="AD26" s="15">
        <v>-1895.7503999999899</v>
      </c>
      <c r="AE26" s="15">
        <v>4159.7381500000383</v>
      </c>
      <c r="AF26" s="15">
        <v>43378.117399999959</v>
      </c>
      <c r="AG26" s="15">
        <v>-13059.678359999993</v>
      </c>
      <c r="AH26" s="4">
        <v>-5936.8914500000192</v>
      </c>
      <c r="AI26" s="4">
        <v>15398.094009999937</v>
      </c>
      <c r="AJ26" s="4">
        <v>-19339.799779999936</v>
      </c>
      <c r="AK26" s="4">
        <v>39004.743390000076</v>
      </c>
      <c r="AL26" s="4">
        <v>-21799.127470000003</v>
      </c>
      <c r="AM26" s="4">
        <v>-14780.299239999977</v>
      </c>
      <c r="AN26" s="4">
        <v>-17743.228270000003</v>
      </c>
      <c r="AO26" s="4">
        <v>-437.79270999996811</v>
      </c>
      <c r="AP26" s="4">
        <v>30215.499400000001</v>
      </c>
      <c r="AQ26" s="4">
        <v>11815.858690000056</v>
      </c>
      <c r="AR26" s="4">
        <v>52847.975030000016</v>
      </c>
      <c r="AS26" s="4">
        <v>9214.1214800000162</v>
      </c>
      <c r="AT26" s="4">
        <v>14423.426499999976</v>
      </c>
      <c r="AU26" s="4">
        <v>607.68423999996912</v>
      </c>
      <c r="AV26" s="4">
        <v>5406.9049500000119</v>
      </c>
      <c r="AW26" s="4">
        <v>44050.043369999999</v>
      </c>
      <c r="AX26" s="4">
        <v>-15709.89136</v>
      </c>
      <c r="AY26" s="4">
        <v>-3145.7377500000002</v>
      </c>
      <c r="AZ26" s="4">
        <v>-15109.231579999992</v>
      </c>
      <c r="BA26" s="4">
        <v>15870.519899999985</v>
      </c>
      <c r="BB26" s="4">
        <v>34904.9211</v>
      </c>
      <c r="BC26" s="4">
        <v>37864.746000000014</v>
      </c>
      <c r="BD26" s="4">
        <v>42520.225739999994</v>
      </c>
      <c r="BE26" s="4">
        <v>26899.524269999994</v>
      </c>
      <c r="BF26" s="4">
        <v>24726.736799999984</v>
      </c>
      <c r="BG26" s="4">
        <v>13781.348129999998</v>
      </c>
      <c r="BH26" s="4">
        <v>15674.671660000022</v>
      </c>
      <c r="BI26" s="4">
        <v>23953.897089999984</v>
      </c>
      <c r="BJ26" s="4">
        <f>BJ27-BJ28</f>
        <v>30062.850799999986</v>
      </c>
      <c r="BK26" s="4">
        <f>BK27-BK28</f>
        <v>6372.6892000000516</v>
      </c>
      <c r="BL26" s="4">
        <f>BL27-BL28</f>
        <v>12140.425000000076</v>
      </c>
      <c r="BM26" s="4">
        <f>BM27-BM28</f>
        <v>1946.2299999999814</v>
      </c>
      <c r="BN26" s="4">
        <f>'1'!S32-'1'!R32</f>
        <v>48256.782999999821</v>
      </c>
      <c r="BO26" s="4">
        <f>'1'!T32-'1'!S32</f>
        <v>39257.022000000114</v>
      </c>
      <c r="BP26" s="4">
        <f>'1'!U32-'1'!T32</f>
        <v>44379.878000000026</v>
      </c>
      <c r="BQ26" s="4">
        <f>'1'!V32-'1'!U32</f>
        <v>52042.22900000005</v>
      </c>
      <c r="BR26" s="4">
        <f>'1'!W32-'1'!V32</f>
        <v>12935.013999999966</v>
      </c>
      <c r="BS26" s="4">
        <f>'1'!X32-'1'!W32</f>
        <v>13054.496000000043</v>
      </c>
      <c r="BT26" s="4">
        <f>'1'!Y32-'1'!X32</f>
        <v>29199.134999999776</v>
      </c>
      <c r="BU26" s="4">
        <f>'1'!Z32-'1'!Y32</f>
        <v>9903.9290000000037</v>
      </c>
      <c r="BV26" s="4">
        <v>22494.11599999998</v>
      </c>
      <c r="BW26" s="4">
        <f>'1'!AC32-'1'!AB32</f>
        <v>19172.585000000021</v>
      </c>
      <c r="BX26" s="4">
        <f>'1'!AD32-'1'!AC32</f>
        <v>-35370.508000000031</v>
      </c>
      <c r="BY26" s="4">
        <f>'1'!AE32-'1'!AD32</f>
        <v>-17362.307999999961</v>
      </c>
      <c r="BZ26" s="4">
        <f>'1'!AF32-'1'!AE32</f>
        <v>4194.2790000000969</v>
      </c>
      <c r="CA26" s="4">
        <f>'1'!AG32-'1'!AF32</f>
        <v>-37730.164000000106</v>
      </c>
      <c r="CB26" s="4">
        <f>'1'!AH32-'1'!AG32</f>
        <v>44378.43200000003</v>
      </c>
      <c r="CC26" s="4">
        <f>'1'!AI32-'1'!AH32</f>
        <v>28132.233000000007</v>
      </c>
      <c r="CD26" s="4">
        <f>'1'!AJ32-'1'!AI32</f>
        <v>-9630.0789999999106</v>
      </c>
      <c r="CE26" s="4">
        <f>'1'!AK32-'1'!AJ32</f>
        <v>28163.168999999762</v>
      </c>
      <c r="CF26" s="4">
        <f>'1'!AL32-'1'!AK32</f>
        <v>857.32599999988452</v>
      </c>
      <c r="CG26" s="4">
        <f>'1'!AM32-'1'!AL32</f>
        <v>67612.172999999952</v>
      </c>
      <c r="CH26" s="4">
        <v>-62808.075000000012</v>
      </c>
      <c r="CI26" s="4">
        <f>'1'!AP32-'1'!AO32</f>
        <v>-67375.438000000024</v>
      </c>
      <c r="CJ26" s="4">
        <f>'1'!AQ32-'1'!AP32</f>
        <v>-23930.665999999968</v>
      </c>
      <c r="CK26" s="4">
        <f>'1'!AR32-'1'!AQ32</f>
        <v>6610.8779999999097</v>
      </c>
      <c r="CL26" s="4">
        <f>'1'!AS32-'1'!AR32</f>
        <v>34323.187000000267</v>
      </c>
      <c r="CM26" s="4">
        <f>'1'!AT32-'1'!AS32</f>
        <v>27288.038999999641</v>
      </c>
      <c r="CN26" s="4">
        <f>'1'!AU32-'1'!AT32</f>
        <v>61101.998000000138</v>
      </c>
      <c r="CO26" s="4">
        <f>'1'!AV32-'1'!AU32</f>
        <v>26197.430000000168</v>
      </c>
      <c r="CP26" s="4">
        <f>'1'!AW32-'1'!AV32</f>
        <v>29202.435000000056</v>
      </c>
      <c r="CQ26" s="4">
        <f>'1'!AX32-'1'!AW32</f>
        <v>32397.037000000011</v>
      </c>
      <c r="CR26" s="4">
        <f>'1'!AY32-'1'!AX32</f>
        <v>-24738.862999999896</v>
      </c>
      <c r="CS26" s="4">
        <f>'1'!AZ32-'1'!AY32</f>
        <v>162256.52399999974</v>
      </c>
      <c r="CT26" s="4">
        <v>108554.179</v>
      </c>
      <c r="CU26" s="4">
        <f>'1'!BC32-'1'!BB32</f>
        <v>-9818.5379999999423</v>
      </c>
      <c r="CV26" s="4">
        <f>'1'!BD32-'1'!BC32</f>
        <v>-20590.078000000096</v>
      </c>
      <c r="CW26" s="4">
        <f>'1'!BE32-'1'!BD32</f>
        <v>9551.1010000001406</v>
      </c>
      <c r="CX26" s="4">
        <f>'1'!BF32-'1'!BE32</f>
        <v>-46228.723000000231</v>
      </c>
      <c r="CY26" s="4">
        <f>'1'!BG32-'1'!BF32</f>
        <v>163534.28300000005</v>
      </c>
      <c r="CZ26" s="4">
        <f>'1'!BH32-'1'!BG32</f>
        <v>121861.12700000033</v>
      </c>
      <c r="DA26" s="4">
        <f>'1'!BI32-'1'!BH32</f>
        <v>23515.068999999668</v>
      </c>
      <c r="DB26" s="4">
        <f>'1'!BJ32-'1'!BI32</f>
        <v>-30249.526000000071</v>
      </c>
      <c r="DC26" s="4">
        <f>'1'!BK32-'1'!BJ32</f>
        <v>51869.404000000097</v>
      </c>
      <c r="DD26" s="4">
        <f>'1'!BL32-'1'!BK32</f>
        <v>-22523.368999999948</v>
      </c>
      <c r="DE26" s="4">
        <f>'1'!BM32-'1'!BL32</f>
        <v>-5948.6899999999441</v>
      </c>
      <c r="DF26" s="4">
        <v>21850.373000000021</v>
      </c>
      <c r="DG26" s="54">
        <f>'1'!BP32-'1'!BO32</f>
        <v>-12989.478000000003</v>
      </c>
      <c r="DH26" s="54">
        <f>'1'!BQ32-'1'!BP32</f>
        <v>-76739.856000000029</v>
      </c>
      <c r="DI26" s="54">
        <f>'1'!BR32-'1'!BQ32</f>
        <v>8730.0380000000587</v>
      </c>
      <c r="DJ26" s="54">
        <f>'1'!BS32-'1'!BR32</f>
        <v>40875.462999999989</v>
      </c>
      <c r="DK26" s="54">
        <f>'1'!BT32-'1'!BS32</f>
        <v>37142.428000000073</v>
      </c>
      <c r="DL26" s="54">
        <f>'1'!BU32-'1'!BT32</f>
        <v>81614.597999999532</v>
      </c>
      <c r="DM26" s="54">
        <f>'1'!BV32-'1'!BU32</f>
        <v>12345.427000000607</v>
      </c>
      <c r="DN26" s="54">
        <f>'1'!BW32-'1'!BV32</f>
        <v>71171.511999999639</v>
      </c>
      <c r="DO26" s="54">
        <f>'1'!BX32-'1'!BW32</f>
        <v>21120.694000000134</v>
      </c>
      <c r="DP26" s="54">
        <f>'1'!BY32-'1'!BX32</f>
        <v>11303.867999999784</v>
      </c>
      <c r="DQ26" s="54">
        <f>'1'!BZ32-'1'!BY32</f>
        <v>34987.715000000782</v>
      </c>
      <c r="DR26" s="54">
        <v>34837.439000000013</v>
      </c>
      <c r="DS26" s="54">
        <f>'1'!CC32-'1'!CB32</f>
        <v>20635.97900000005</v>
      </c>
      <c r="DT26" s="54">
        <f>'1'!CD32-'1'!CC32</f>
        <v>27777.341000000015</v>
      </c>
      <c r="DU26" s="54">
        <f>'1'!CE32-'1'!CD32</f>
        <v>56293.546999999788</v>
      </c>
      <c r="DV26" s="54">
        <f>'1'!CF32-'1'!CE32</f>
        <v>31496.225000000093</v>
      </c>
      <c r="DW26" s="54">
        <f>'1'!CG32-'1'!CF32</f>
        <v>36894.667000000365</v>
      </c>
      <c r="DX26" s="54">
        <f>'1'!CH32-'1'!CG32</f>
        <v>42130.350999999791</v>
      </c>
      <c r="DY26" s="54">
        <f>'1'!CI32-'1'!CH32</f>
        <v>50780.384999999776</v>
      </c>
      <c r="DZ26" s="54">
        <f>'1'!CJ32-'1'!CI32</f>
        <v>12885.566000000108</v>
      </c>
      <c r="EA26" s="54">
        <f>'1'!CK32-'1'!CJ32</f>
        <v>17933.075999999885</v>
      </c>
      <c r="EB26" s="54">
        <f>'1'!CL32-'1'!CK32</f>
        <v>9234.1800000001676</v>
      </c>
      <c r="EC26" s="54">
        <f>'1'!CM32-'1'!CL32</f>
        <v>-3763.7970000002533</v>
      </c>
      <c r="ED26" s="54">
        <f>'1'!CO32</f>
        <v>82756.072209999897</v>
      </c>
      <c r="EE26" s="54">
        <f>'1'!CP32-'1'!CO32</f>
        <v>-1511.5017999998527</v>
      </c>
      <c r="EF26" s="54">
        <f>'1'!CQ32-'1'!CP32</f>
        <v>17319.758219999843</v>
      </c>
      <c r="EG26" s="54">
        <f>'1'!CR32-'1'!CQ32</f>
        <v>-33343.89833999984</v>
      </c>
      <c r="EH26" s="54">
        <f>'1'!CS32-'1'!CR32</f>
        <v>105142.67748000007</v>
      </c>
      <c r="EI26" s="54">
        <f>'1'!CT32-'1'!CS32</f>
        <v>53238.271439999342</v>
      </c>
      <c r="EJ26" s="54">
        <f>'1'!CU32-'1'!CT32</f>
        <v>75604.766550000757</v>
      </c>
      <c r="EK26" s="54">
        <f>'1'!CV32-'1'!CU32</f>
        <v>79041.977649999317</v>
      </c>
      <c r="EL26" s="54">
        <f>'1'!CW32-'1'!CV32</f>
        <v>16494.140590000432</v>
      </c>
      <c r="EM26" s="54">
        <f>'1'!CX32-'1'!CW32</f>
        <v>50644.218359999359</v>
      </c>
      <c r="EN26" s="54">
        <f>'1'!CY32-'1'!CX32</f>
        <v>28243.656630000565</v>
      </c>
      <c r="EO26" s="54">
        <f>'1'!CZ32-'1'!CY32</f>
        <v>1592.7455800008029</v>
      </c>
      <c r="EP26" s="54">
        <f>'1'!DB32</f>
        <v>146223.47600000002</v>
      </c>
      <c r="EQ26" s="54">
        <f>'1'!DC32-'1'!DB32</f>
        <v>2451.7748400000855</v>
      </c>
      <c r="ER26" s="54">
        <f>'1'!DD32-'1'!DC32</f>
        <v>-2406.5055500003509</v>
      </c>
      <c r="ES26" s="54">
        <f>'1'!DE32-'1'!DD32</f>
        <v>-8951.4253999998327</v>
      </c>
      <c r="ET26" s="54">
        <f>'1'!DF32-'1'!DE32</f>
        <v>105470.61837999988</v>
      </c>
      <c r="EU26" s="54">
        <f>'1'!DG32-'1'!DF32</f>
        <v>36725.067750000395</v>
      </c>
      <c r="EV26" s="54">
        <f>'1'!DH32-'1'!DG32</f>
        <v>81002.054819999728</v>
      </c>
      <c r="EY26" s="66"/>
      <c r="EZ26" s="66"/>
      <c r="FA26" s="66"/>
      <c r="FB26" s="66"/>
      <c r="FC26" s="66"/>
      <c r="FD26" s="66"/>
      <c r="FE26" s="66"/>
      <c r="FF26" s="66"/>
      <c r="FG26" s="66"/>
      <c r="FH26" s="66"/>
      <c r="FI26" s="66"/>
      <c r="FJ26" s="66"/>
      <c r="FK26" s="66"/>
      <c r="FL26" s="66"/>
      <c r="FM26" s="66"/>
      <c r="FN26" s="66"/>
      <c r="FO26" s="66"/>
      <c r="FP26" s="66"/>
      <c r="FQ26" s="66"/>
      <c r="FR26" s="66"/>
      <c r="FS26" s="66"/>
      <c r="FT26" s="66"/>
      <c r="FU26" s="66"/>
      <c r="FV26" s="66"/>
      <c r="FW26" s="66"/>
      <c r="FX26" s="66"/>
      <c r="FY26" s="66"/>
      <c r="FZ26" s="66"/>
      <c r="GA26" s="66"/>
      <c r="GB26" s="66"/>
      <c r="GC26" s="66"/>
    </row>
    <row r="27" spans="1:185" s="46" customFormat="1" ht="15" customHeight="1">
      <c r="A27" s="23" t="s">
        <v>2</v>
      </c>
      <c r="B27" s="20">
        <v>167302.60999999999</v>
      </c>
      <c r="C27" s="20">
        <v>174192.72100000002</v>
      </c>
      <c r="D27" s="20">
        <v>172946.09900000002</v>
      </c>
      <c r="E27" s="20">
        <v>191358.82</v>
      </c>
      <c r="F27" s="20">
        <v>181935.68499999997</v>
      </c>
      <c r="G27" s="20">
        <v>179947.74799999999</v>
      </c>
      <c r="H27" s="20">
        <v>206719.70021999997</v>
      </c>
      <c r="I27" s="20">
        <v>188267.91199999995</v>
      </c>
      <c r="J27" s="20">
        <v>175198.91996000003</v>
      </c>
      <c r="K27" s="20">
        <v>194478.29592999999</v>
      </c>
      <c r="L27" s="20">
        <v>178262.19026</v>
      </c>
      <c r="M27" s="20">
        <v>211495.62752000007</v>
      </c>
      <c r="N27" s="20">
        <v>177052.00193</v>
      </c>
      <c r="O27" s="20">
        <v>180354.00823000001</v>
      </c>
      <c r="P27" s="20">
        <v>185691.39772000007</v>
      </c>
      <c r="Q27" s="20">
        <v>197156.44506000003</v>
      </c>
      <c r="R27" s="20">
        <v>184100.73688000001</v>
      </c>
      <c r="S27" s="20">
        <v>183249.31471000004</v>
      </c>
      <c r="T27" s="20">
        <v>215704.57934999996</v>
      </c>
      <c r="U27" s="20">
        <v>194787.66297</v>
      </c>
      <c r="V27" s="20">
        <v>181730.77025999999</v>
      </c>
      <c r="W27" s="20">
        <v>195077.90918999998</v>
      </c>
      <c r="X27" s="20">
        <v>185930.04064999998</v>
      </c>
      <c r="Y27" s="20">
        <v>213406.17585</v>
      </c>
      <c r="Z27" s="21">
        <v>179448.11551999996</v>
      </c>
      <c r="AA27" s="21">
        <v>183325.96662999998</v>
      </c>
      <c r="AB27" s="21">
        <v>184031.77638000002</v>
      </c>
      <c r="AC27" s="21">
        <v>206561.78546000001</v>
      </c>
      <c r="AD27" s="21">
        <v>187478.70384</v>
      </c>
      <c r="AE27" s="21">
        <v>195571.64927000002</v>
      </c>
      <c r="AF27" s="21">
        <v>215650.95424999992</v>
      </c>
      <c r="AG27" s="21">
        <v>195153.98161000002</v>
      </c>
      <c r="AH27" s="7">
        <v>187423.69270999997</v>
      </c>
      <c r="AI27" s="7">
        <v>191589.60444</v>
      </c>
      <c r="AJ27" s="7">
        <v>190326.87980000005</v>
      </c>
      <c r="AK27" s="7">
        <v>221573.25633000006</v>
      </c>
      <c r="AL27" s="7">
        <v>188337.98945000002</v>
      </c>
      <c r="AM27" s="7">
        <v>182372.30180000004</v>
      </c>
      <c r="AN27" s="7">
        <v>185189.21679000001</v>
      </c>
      <c r="AO27" s="7">
        <v>216835.99692999999</v>
      </c>
      <c r="AP27" s="7">
        <v>206071.87583</v>
      </c>
      <c r="AQ27" s="7">
        <v>209366.27141000002</v>
      </c>
      <c r="AR27" s="7">
        <v>230880.91754000002</v>
      </c>
      <c r="AS27" s="7">
        <v>222091.91694999998</v>
      </c>
      <c r="AT27" s="7">
        <v>198976.54431999996</v>
      </c>
      <c r="AU27" s="7">
        <v>218034.55744</v>
      </c>
      <c r="AV27" s="7">
        <v>207748.62768000003</v>
      </c>
      <c r="AW27" s="7">
        <v>238266.67812999999</v>
      </c>
      <c r="AX27" s="7">
        <v>200983.12943999999</v>
      </c>
      <c r="AY27" s="7">
        <v>203762.89705</v>
      </c>
      <c r="AZ27" s="7">
        <v>198319.35608</v>
      </c>
      <c r="BA27" s="7">
        <v>239417.98233999999</v>
      </c>
      <c r="BB27" s="7">
        <v>229158.50018999999</v>
      </c>
      <c r="BC27" s="7">
        <v>235028.402</v>
      </c>
      <c r="BD27" s="7">
        <v>262376.35897</v>
      </c>
      <c r="BE27" s="7">
        <v>237395.66355999999</v>
      </c>
      <c r="BF27" s="7">
        <v>220032.02859999999</v>
      </c>
      <c r="BG27" s="7">
        <v>250836.97177</v>
      </c>
      <c r="BH27" s="7">
        <v>237193.31580000001</v>
      </c>
      <c r="BI27" s="7">
        <v>267819.78019999992</v>
      </c>
      <c r="BJ27" s="7">
        <v>235581.60579999999</v>
      </c>
      <c r="BK27" s="7">
        <v>231251.66420000003</v>
      </c>
      <c r="BL27" s="7">
        <v>225206.85600000006</v>
      </c>
      <c r="BM27" s="7">
        <v>258832.40399999998</v>
      </c>
      <c r="BN27" s="7">
        <f>'1'!S33-'1'!R33</f>
        <v>256203.75799999991</v>
      </c>
      <c r="BO27" s="7">
        <f>'1'!T33-'1'!S33</f>
        <v>247189.71200000006</v>
      </c>
      <c r="BP27" s="7">
        <f>'1'!U33-'1'!T33</f>
        <v>283516.21800000011</v>
      </c>
      <c r="BQ27" s="7">
        <f>'1'!V33-'1'!U33</f>
        <v>259698.41599999997</v>
      </c>
      <c r="BR27" s="7">
        <f>'1'!W33-'1'!V33</f>
        <v>242624.01899999985</v>
      </c>
      <c r="BS27" s="7">
        <f>'1'!X33-'1'!W33</f>
        <v>269550.25100000016</v>
      </c>
      <c r="BT27" s="7">
        <f>'1'!Y33-'1'!X33</f>
        <v>254562.17599999998</v>
      </c>
      <c r="BU27" s="7">
        <f>'1'!Z33-'1'!Y33</f>
        <v>286098.93299999973</v>
      </c>
      <c r="BV27" s="7">
        <v>258275.56099999999</v>
      </c>
      <c r="BW27" s="7">
        <f>'1'!AC33-'1'!AB33</f>
        <v>248374.82199999999</v>
      </c>
      <c r="BX27" s="7">
        <f>'1'!AD33-'1'!AC33</f>
        <v>233055.52400000003</v>
      </c>
      <c r="BY27" s="7">
        <f>'1'!AE33-'1'!AD33</f>
        <v>250544.49699999997</v>
      </c>
      <c r="BZ27" s="7">
        <f>'1'!AF33-'1'!AE33</f>
        <v>221419.72000000009</v>
      </c>
      <c r="CA27" s="7">
        <f>'1'!AG33-'1'!AF33</f>
        <v>230447.87599999993</v>
      </c>
      <c r="CB27" s="7">
        <f>'1'!AH33-'1'!AG33</f>
        <v>276776.06300000008</v>
      </c>
      <c r="CC27" s="7">
        <f>'1'!AI33-'1'!AH33</f>
        <v>260132.28599999985</v>
      </c>
      <c r="CD27" s="7">
        <f>'1'!AJ33-'1'!AI33</f>
        <v>257225.73300000001</v>
      </c>
      <c r="CE27" s="7">
        <f>'1'!AK33-'1'!AJ33</f>
        <v>262818.47399999993</v>
      </c>
      <c r="CF27" s="7">
        <f>'1'!AL33-'1'!AK33</f>
        <v>258427.69100000011</v>
      </c>
      <c r="CG27" s="7">
        <f>'1'!AM33-'1'!AL33</f>
        <v>350058.45699999994</v>
      </c>
      <c r="CH27" s="7">
        <v>182213.52799999999</v>
      </c>
      <c r="CI27" s="7">
        <f>'1'!AP33-'1'!AO33</f>
        <v>196739.364</v>
      </c>
      <c r="CJ27" s="7">
        <f>'1'!AQ33-'1'!AP33</f>
        <v>280261.929</v>
      </c>
      <c r="CK27" s="7">
        <f>'1'!AR33-'1'!AQ33</f>
        <v>272916.72100000002</v>
      </c>
      <c r="CL27" s="7">
        <f>'1'!AS33-'1'!AR33</f>
        <v>277554.30500000005</v>
      </c>
      <c r="CM27" s="7">
        <f>'1'!AT33-'1'!AS33</f>
        <v>304993.49899999984</v>
      </c>
      <c r="CN27" s="7">
        <f>'1'!AU33-'1'!AT33</f>
        <v>302140.07200000016</v>
      </c>
      <c r="CO27" s="7">
        <f>'1'!AV33-'1'!AU33</f>
        <v>299731.99099999992</v>
      </c>
      <c r="CP27" s="7">
        <f>'1'!AW33-'1'!AV33</f>
        <v>292093.13200000022</v>
      </c>
      <c r="CQ27" s="7">
        <f>'1'!AX33-'1'!AW33</f>
        <v>282344.85800000001</v>
      </c>
      <c r="CR27" s="7">
        <f>'1'!AY33-'1'!AX33</f>
        <v>260178.76099999994</v>
      </c>
      <c r="CS27" s="7">
        <f>'1'!AZ33-'1'!AY33</f>
        <v>458943.50699999975</v>
      </c>
      <c r="CT27" s="7">
        <v>373920.799</v>
      </c>
      <c r="CU27" s="7">
        <f>'1'!BC33-'1'!BB33</f>
        <v>291303.59600000002</v>
      </c>
      <c r="CV27" s="7">
        <f>'1'!BD33-'1'!BC33</f>
        <v>290859.027</v>
      </c>
      <c r="CW27" s="7">
        <f>'1'!BE33-'1'!BD33</f>
        <v>302459.79600000009</v>
      </c>
      <c r="CX27" s="7">
        <f>'1'!BF33-'1'!BE33</f>
        <v>229777.31999999983</v>
      </c>
      <c r="CY27" s="7">
        <f>'1'!BG33-'1'!BF33</f>
        <v>435953.09100000001</v>
      </c>
      <c r="CZ27" s="7">
        <f>'1'!BH33-'1'!BG33</f>
        <v>370694.27000000025</v>
      </c>
      <c r="DA27" s="7">
        <f>'1'!BI33-'1'!BH33</f>
        <v>324382.07899999991</v>
      </c>
      <c r="DB27" s="7">
        <f>'1'!BJ33-'1'!BI33</f>
        <v>337952.53599999985</v>
      </c>
      <c r="DC27" s="7">
        <f>'1'!BK33-'1'!BJ33</f>
        <v>349920.82200000016</v>
      </c>
      <c r="DD27" s="7">
        <f>'1'!BL33-'1'!BK33</f>
        <v>324970.32400000002</v>
      </c>
      <c r="DE27" s="7">
        <f>'1'!BM33-'1'!BL33</f>
        <v>300963.05899999989</v>
      </c>
      <c r="DF27" s="7">
        <v>386755.58600000001</v>
      </c>
      <c r="DG27" s="115">
        <f>'1'!BP33-'1'!BO33</f>
        <v>325763.82200000004</v>
      </c>
      <c r="DH27" s="115">
        <f>'1'!BQ33-'1'!BP33</f>
        <v>269347.90399999998</v>
      </c>
      <c r="DI27" s="115">
        <f>'1'!BR33-'1'!BQ33</f>
        <v>358546.38600000006</v>
      </c>
      <c r="DJ27" s="115">
        <f>'1'!BS33-'1'!BR33</f>
        <v>351917.30299999984</v>
      </c>
      <c r="DK27" s="115">
        <f>'1'!BT33-'1'!BS33</f>
        <v>365282.09200000018</v>
      </c>
      <c r="DL27" s="115">
        <f>'1'!BU33-'1'!BT33</f>
        <v>375551.06199999969</v>
      </c>
      <c r="DM27" s="115">
        <f>'1'!BV33-'1'!BU33</f>
        <v>366816.51100000041</v>
      </c>
      <c r="DN27" s="115">
        <f>'1'!BW33-'1'!BV33</f>
        <v>370049.79099999974</v>
      </c>
      <c r="DO27" s="115">
        <f>'1'!BX33-'1'!BW33</f>
        <v>352599.45699999994</v>
      </c>
      <c r="DP27" s="115">
        <f>'1'!BY33-'1'!BX33</f>
        <v>361097.13400000008</v>
      </c>
      <c r="DQ27" s="115">
        <f>'1'!BZ33-'1'!BY33</f>
        <v>355952.14200000046</v>
      </c>
      <c r="DR27" s="115">
        <v>418920.08</v>
      </c>
      <c r="DS27" s="115">
        <f>'1'!CC33-'1'!CB33</f>
        <v>375519.64900000003</v>
      </c>
      <c r="DT27" s="115">
        <f>'1'!CD33-'1'!CC33</f>
        <v>354904.03700000001</v>
      </c>
      <c r="DU27" s="115">
        <f>'1'!CE33-'1'!CD33</f>
        <v>418219.87999999989</v>
      </c>
      <c r="DV27" s="115">
        <f>'1'!CF33-'1'!CE33</f>
        <v>380821.70200000005</v>
      </c>
      <c r="DW27" s="115">
        <f>'1'!CG33-'1'!CF33</f>
        <v>382971.3600000001</v>
      </c>
      <c r="DX27" s="115">
        <f>'1'!CH33-'1'!CG33</f>
        <v>394615.49099999992</v>
      </c>
      <c r="DY27" s="115">
        <f>'1'!CI33-'1'!CH33</f>
        <v>401394.84700000007</v>
      </c>
      <c r="DZ27" s="115">
        <f>'1'!CJ33-'1'!CI33</f>
        <v>369593.38199999975</v>
      </c>
      <c r="EA27" s="115">
        <f>'1'!CK33-'1'!CJ33</f>
        <v>394067.81799999997</v>
      </c>
      <c r="EB27" s="115">
        <f>'1'!CL33-'1'!CK33</f>
        <v>383293.73800000036</v>
      </c>
      <c r="EC27" s="115">
        <f>'1'!CM33-'1'!CL33</f>
        <v>374702.53699999955</v>
      </c>
      <c r="ED27" s="115">
        <f>'1'!CO33</f>
        <v>467815.38360999996</v>
      </c>
      <c r="EE27" s="115">
        <f>'1'!CP33-'1'!CO33</f>
        <v>380804.92089000001</v>
      </c>
      <c r="EF27" s="115">
        <f>'1'!CQ33-'1'!CP33</f>
        <v>399315.07610999991</v>
      </c>
      <c r="EG27" s="115">
        <f>'1'!CR33-'1'!CQ33</f>
        <v>411874.29661999992</v>
      </c>
      <c r="EH27" s="115">
        <f>'1'!CS33-'1'!CR33</f>
        <v>423672.29734000028</v>
      </c>
      <c r="EI27" s="115">
        <f>'1'!CT33-'1'!CS33</f>
        <v>427821.50489999959</v>
      </c>
      <c r="EJ27" s="115">
        <f>'1'!CU33-'1'!CT33</f>
        <v>459364.36483000033</v>
      </c>
      <c r="EK27" s="115">
        <f>'1'!CV33-'1'!CU33</f>
        <v>457105.74471999984</v>
      </c>
      <c r="EL27" s="115">
        <f>'1'!CW33-'1'!CV33</f>
        <v>413079.54783000005</v>
      </c>
      <c r="EM27" s="115">
        <f>'1'!CX33-'1'!CW33</f>
        <v>455650.55233999947</v>
      </c>
      <c r="EN27" s="115">
        <f>'1'!CY33-'1'!CX33</f>
        <v>429515.29582000058</v>
      </c>
      <c r="EO27" s="115">
        <f>'1'!CZ33-'1'!CY33</f>
        <v>463335.25663000066</v>
      </c>
      <c r="EP27" s="115">
        <f>'1'!DB33</f>
        <v>509610.05454000004</v>
      </c>
      <c r="EQ27" s="115">
        <f>'1'!DC33-'1'!DB33</f>
        <v>417718.58872</v>
      </c>
      <c r="ER27" s="115">
        <f>'1'!DD33-'1'!DC33</f>
        <v>426990.35977999982</v>
      </c>
      <c r="ES27" s="115">
        <f>'1'!DE33-'1'!DD33</f>
        <v>462965.77572000003</v>
      </c>
      <c r="ET27" s="115">
        <f>'1'!DF33-'1'!DE33</f>
        <v>464424.98145000008</v>
      </c>
      <c r="EU27" s="115">
        <f>'1'!DG33-'1'!DF33</f>
        <v>457853.08846999984</v>
      </c>
      <c r="EV27" s="115">
        <f>'1'!DH33-'1'!DG33</f>
        <v>499538.53207000019</v>
      </c>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row>
    <row r="28" spans="1:185" s="46" customFormat="1" ht="15" customHeight="1">
      <c r="A28" s="23" t="s">
        <v>7</v>
      </c>
      <c r="B28" s="20">
        <v>139216.66899999999</v>
      </c>
      <c r="C28" s="20">
        <v>176402.38700000002</v>
      </c>
      <c r="D28" s="20">
        <v>175022.49600000001</v>
      </c>
      <c r="E28" s="20">
        <v>217131.15400000001</v>
      </c>
      <c r="F28" s="20">
        <v>135103.94300000003</v>
      </c>
      <c r="G28" s="20">
        <v>176781.47900000002</v>
      </c>
      <c r="H28" s="20">
        <v>177405.16664000001</v>
      </c>
      <c r="I28" s="20">
        <v>169432.93699999998</v>
      </c>
      <c r="J28" s="20">
        <v>183197.86595000004</v>
      </c>
      <c r="K28" s="20">
        <v>179073.71438000005</v>
      </c>
      <c r="L28" s="20">
        <v>174381.96826999998</v>
      </c>
      <c r="M28" s="20">
        <v>218604.71708999999</v>
      </c>
      <c r="N28" s="20">
        <v>146758.83397000001</v>
      </c>
      <c r="O28" s="20">
        <v>184095.21849999999</v>
      </c>
      <c r="P28" s="20">
        <v>221436.50722999996</v>
      </c>
      <c r="Q28" s="20">
        <v>186262.44231000001</v>
      </c>
      <c r="R28" s="20">
        <v>145057.80581000002</v>
      </c>
      <c r="S28" s="20">
        <v>202688.63988999999</v>
      </c>
      <c r="T28" s="20">
        <v>182229.09837000002</v>
      </c>
      <c r="U28" s="20">
        <v>168721.43775000004</v>
      </c>
      <c r="V28" s="20">
        <v>201472.37555999996</v>
      </c>
      <c r="W28" s="20">
        <v>170853.51258000004</v>
      </c>
      <c r="X28" s="20">
        <v>186728.68993999998</v>
      </c>
      <c r="Y28" s="20">
        <v>206804.53006000005</v>
      </c>
      <c r="Z28" s="21">
        <v>169842.46781999996</v>
      </c>
      <c r="AA28" s="21">
        <v>193469.69720000005</v>
      </c>
      <c r="AB28" s="21">
        <v>209866.21653999996</v>
      </c>
      <c r="AC28" s="21">
        <v>194550.86351999998</v>
      </c>
      <c r="AD28" s="21">
        <v>189374.45423999999</v>
      </c>
      <c r="AE28" s="21">
        <v>191411.91111999998</v>
      </c>
      <c r="AF28" s="21">
        <v>172272.83684999996</v>
      </c>
      <c r="AG28" s="21">
        <v>208213.65997000001</v>
      </c>
      <c r="AH28" s="7">
        <v>193360.58416</v>
      </c>
      <c r="AI28" s="7">
        <v>176191.51043000005</v>
      </c>
      <c r="AJ28" s="7">
        <v>209666.67958</v>
      </c>
      <c r="AK28" s="7">
        <v>182568.51293999999</v>
      </c>
      <c r="AL28" s="7">
        <v>210137.11692</v>
      </c>
      <c r="AM28" s="7">
        <v>197152.60104000001</v>
      </c>
      <c r="AN28" s="7">
        <v>202932.44506000003</v>
      </c>
      <c r="AO28" s="7">
        <v>217273.78963999997</v>
      </c>
      <c r="AP28" s="7">
        <v>175856.37643</v>
      </c>
      <c r="AQ28" s="7">
        <v>197550.41271999996</v>
      </c>
      <c r="AR28" s="7">
        <v>178032.94250999999</v>
      </c>
      <c r="AS28" s="7">
        <v>212877.79546999995</v>
      </c>
      <c r="AT28" s="7">
        <v>184553.11781999998</v>
      </c>
      <c r="AU28" s="7">
        <v>217426.87320000003</v>
      </c>
      <c r="AV28" s="7">
        <v>202341.72273000001</v>
      </c>
      <c r="AW28" s="7">
        <v>194216.63475999999</v>
      </c>
      <c r="AX28" s="7">
        <v>216693.0208</v>
      </c>
      <c r="AY28" s="7">
        <v>206908.6348</v>
      </c>
      <c r="AZ28" s="7">
        <v>213428.58765999999</v>
      </c>
      <c r="BA28" s="7">
        <v>223547.46244</v>
      </c>
      <c r="BB28" s="7">
        <v>194253.57909000001</v>
      </c>
      <c r="BC28" s="7">
        <v>197163.65599999999</v>
      </c>
      <c r="BD28" s="7">
        <v>219856.13323000001</v>
      </c>
      <c r="BE28" s="7">
        <v>210496.13928999999</v>
      </c>
      <c r="BF28" s="7">
        <v>195305.29180000001</v>
      </c>
      <c r="BG28" s="7">
        <v>237055.62364000001</v>
      </c>
      <c r="BH28" s="7">
        <v>221518.64413999999</v>
      </c>
      <c r="BI28" s="7">
        <v>243865.88310999982</v>
      </c>
      <c r="BJ28" s="7">
        <v>205518.755</v>
      </c>
      <c r="BK28" s="7">
        <v>224878.97499999998</v>
      </c>
      <c r="BL28" s="7">
        <v>213066.43099999998</v>
      </c>
      <c r="BM28" s="7">
        <v>256886.174</v>
      </c>
      <c r="BN28" s="7">
        <f>'1'!S34-'1'!R34</f>
        <v>207946.97500000009</v>
      </c>
      <c r="BO28" s="7">
        <f>'1'!T34-'1'!S34</f>
        <v>207932.68999999994</v>
      </c>
      <c r="BP28" s="7">
        <f>'1'!U34-'1'!T34</f>
        <v>239136.34000000008</v>
      </c>
      <c r="BQ28" s="7">
        <f>'1'!V34-'1'!U34</f>
        <v>207656.18699999992</v>
      </c>
      <c r="BR28" s="7">
        <f>'1'!W34-'1'!V34</f>
        <v>229689.00499999989</v>
      </c>
      <c r="BS28" s="7">
        <f>'1'!X34-'1'!W34</f>
        <v>256495.75500000012</v>
      </c>
      <c r="BT28" s="7">
        <f>'1'!Y34-'1'!X34</f>
        <v>225363.0410000002</v>
      </c>
      <c r="BU28" s="7">
        <f>'1'!Z34-'1'!Y34</f>
        <v>276195.00399999972</v>
      </c>
      <c r="BV28" s="7">
        <v>235781.44500000001</v>
      </c>
      <c r="BW28" s="7">
        <f>'1'!AC34-'1'!AB34</f>
        <v>229202.23699999996</v>
      </c>
      <c r="BX28" s="7">
        <f>'1'!AD34-'1'!AC34</f>
        <v>268426.03200000006</v>
      </c>
      <c r="BY28" s="7">
        <f>'1'!AE34-'1'!AD34</f>
        <v>267906.80499999993</v>
      </c>
      <c r="BZ28" s="7">
        <f>'1'!AF34-'1'!AE34</f>
        <v>217225.44099999999</v>
      </c>
      <c r="CA28" s="7">
        <f>'1'!AG34-'1'!AF34</f>
        <v>268178.04000000004</v>
      </c>
      <c r="CB28" s="7">
        <f>'1'!AH34-'1'!AG34</f>
        <v>232397.63100000005</v>
      </c>
      <c r="CC28" s="7">
        <f>'1'!AI34-'1'!AH34</f>
        <v>232000.05299999984</v>
      </c>
      <c r="CD28" s="7">
        <f>'1'!AJ34-'1'!AI34</f>
        <v>266855.81199999992</v>
      </c>
      <c r="CE28" s="7">
        <f>'1'!AK34-'1'!AJ34</f>
        <v>234655.30500000017</v>
      </c>
      <c r="CF28" s="7">
        <f>'1'!AL34-'1'!AK34</f>
        <v>257570.36500000022</v>
      </c>
      <c r="CG28" s="7">
        <f>'1'!AM34-'1'!AL34</f>
        <v>282446.28399999999</v>
      </c>
      <c r="CH28" s="7">
        <v>245021.603</v>
      </c>
      <c r="CI28" s="7">
        <f>'1'!AP34-'1'!AO34</f>
        <v>264114.80200000003</v>
      </c>
      <c r="CJ28" s="7">
        <f>'1'!AQ34-'1'!AP34</f>
        <v>304192.59499999997</v>
      </c>
      <c r="CK28" s="7">
        <f>'1'!AR34-'1'!AQ34</f>
        <v>266305.84300000011</v>
      </c>
      <c r="CL28" s="7">
        <f>'1'!AS34-'1'!AR34</f>
        <v>243231.11799999978</v>
      </c>
      <c r="CM28" s="7">
        <f>'1'!AT34-'1'!AS34</f>
        <v>277705.4600000002</v>
      </c>
      <c r="CN28" s="7">
        <f>'1'!AU34-'1'!AT34</f>
        <v>241038.07400000002</v>
      </c>
      <c r="CO28" s="7">
        <f>'1'!AV34-'1'!AU34</f>
        <v>273534.56099999975</v>
      </c>
      <c r="CP28" s="7">
        <f>'1'!AW34-'1'!AV34</f>
        <v>262890.69700000016</v>
      </c>
      <c r="CQ28" s="7">
        <f>'1'!AX34-'1'!AW34</f>
        <v>249947.821</v>
      </c>
      <c r="CR28" s="7">
        <f>'1'!AY34-'1'!AX34</f>
        <v>284917.62399999984</v>
      </c>
      <c r="CS28" s="7">
        <f>'1'!AZ34-'1'!AY34</f>
        <v>296686.98300000001</v>
      </c>
      <c r="CT28" s="7">
        <v>265366.62</v>
      </c>
      <c r="CU28" s="7">
        <f>'1'!BC34-'1'!BB34</f>
        <v>301122.13399999996</v>
      </c>
      <c r="CV28" s="7">
        <f>'1'!BD34-'1'!BC34</f>
        <v>311449.1050000001</v>
      </c>
      <c r="CW28" s="7">
        <f>'1'!BE34-'1'!BD34</f>
        <v>292908.69499999995</v>
      </c>
      <c r="CX28" s="7">
        <f>'1'!BF34-'1'!BE34</f>
        <v>276006.04300000006</v>
      </c>
      <c r="CY28" s="7">
        <f>'1'!BG34-'1'!BF34</f>
        <v>272418.80799999996</v>
      </c>
      <c r="CZ28" s="7">
        <f>'1'!BH34-'1'!BG34</f>
        <v>248833.14299999992</v>
      </c>
      <c r="DA28" s="7">
        <f>'1'!BI34-'1'!BH34</f>
        <v>300867.01000000024</v>
      </c>
      <c r="DB28" s="7">
        <f>'1'!BJ34-'1'!BI34</f>
        <v>368202.06199999992</v>
      </c>
      <c r="DC28" s="7">
        <f>'1'!BK34-'1'!BJ34</f>
        <v>298051.41800000006</v>
      </c>
      <c r="DD28" s="7">
        <f>'1'!BL34-'1'!BK34</f>
        <v>347493.69299999997</v>
      </c>
      <c r="DE28" s="7">
        <f>'1'!BM34-'1'!BL34</f>
        <v>306911.74899999984</v>
      </c>
      <c r="DF28" s="7">
        <v>364905.21299999999</v>
      </c>
      <c r="DG28" s="115">
        <f>'1'!BP34-'1'!BO34</f>
        <v>338753.30000000005</v>
      </c>
      <c r="DH28" s="115">
        <f>'1'!BQ34-'1'!BP34</f>
        <v>346087.76</v>
      </c>
      <c r="DI28" s="115">
        <f>'1'!BR34-'1'!BQ34</f>
        <v>349816.348</v>
      </c>
      <c r="DJ28" s="115">
        <f>'1'!BS34-'1'!BR34</f>
        <v>311041.83999999985</v>
      </c>
      <c r="DK28" s="115">
        <f>'1'!BT34-'1'!BS34</f>
        <v>328139.66400000011</v>
      </c>
      <c r="DL28" s="115">
        <f>'1'!BU34-'1'!BT34</f>
        <v>293936.46400000015</v>
      </c>
      <c r="DM28" s="115">
        <f>'1'!BV34-'1'!BU34</f>
        <v>354471.0839999998</v>
      </c>
      <c r="DN28" s="115">
        <f>'1'!BW34-'1'!BV34</f>
        <v>298878.2790000001</v>
      </c>
      <c r="DO28" s="115">
        <f>'1'!BX34-'1'!BW34</f>
        <v>331478.7629999998</v>
      </c>
      <c r="DP28" s="115">
        <f>'1'!BY34-'1'!BX34</f>
        <v>349793.26600000029</v>
      </c>
      <c r="DQ28" s="115">
        <f>'1'!BZ34-'1'!BY34</f>
        <v>320964.42699999968</v>
      </c>
      <c r="DR28" s="115">
        <v>384082.641</v>
      </c>
      <c r="DS28" s="115">
        <f>'1'!CC34-'1'!CB34</f>
        <v>354883.67</v>
      </c>
      <c r="DT28" s="115">
        <f>'1'!CD34-'1'!CC34</f>
        <v>327126.696</v>
      </c>
      <c r="DU28" s="115">
        <f>'1'!CE34-'1'!CD34</f>
        <v>361926.3330000001</v>
      </c>
      <c r="DV28" s="115">
        <f>'1'!CF34-'1'!CE34</f>
        <v>349325.47699999996</v>
      </c>
      <c r="DW28" s="115">
        <f>'1'!CG34-'1'!CF34</f>
        <v>346076.69299999974</v>
      </c>
      <c r="DX28" s="115">
        <f>'1'!CH34-'1'!CG34</f>
        <v>352485.14000000013</v>
      </c>
      <c r="DY28" s="115">
        <f>'1'!CI34-'1'!CH34</f>
        <v>350614.46200000029</v>
      </c>
      <c r="DZ28" s="115">
        <f>'1'!CJ34-'1'!CI34</f>
        <v>356707.81599999964</v>
      </c>
      <c r="EA28" s="115">
        <f>'1'!CK34-'1'!CJ34</f>
        <v>376134.74200000009</v>
      </c>
      <c r="EB28" s="115">
        <f>'1'!CL34-'1'!CK34</f>
        <v>374059.55800000019</v>
      </c>
      <c r="EC28" s="115">
        <f>'1'!CM34-'1'!CL34</f>
        <v>378466.3339999998</v>
      </c>
      <c r="ED28" s="115">
        <f>'1'!CO34</f>
        <v>385059.31140000006</v>
      </c>
      <c r="EE28" s="115">
        <f>'1'!CP34-'1'!CO34</f>
        <v>382316.42268999986</v>
      </c>
      <c r="EF28" s="115">
        <f>'1'!CQ34-'1'!CP34</f>
        <v>381995.31789000006</v>
      </c>
      <c r="EG28" s="115">
        <f>'1'!CR34-'1'!CQ34</f>
        <v>445218.19495999976</v>
      </c>
      <c r="EH28" s="115">
        <f>'1'!CS34-'1'!CR34</f>
        <v>318529.61986000021</v>
      </c>
      <c r="EI28" s="115">
        <f>'1'!CT34-'1'!CS34</f>
        <v>374583.23346000025</v>
      </c>
      <c r="EJ28" s="115">
        <f>'1'!CU34-'1'!CT34</f>
        <v>383759.59827999957</v>
      </c>
      <c r="EK28" s="115">
        <f>'1'!CV34-'1'!CU34</f>
        <v>378063.76707000053</v>
      </c>
      <c r="EL28" s="115">
        <f>'1'!CW34-'1'!CV34</f>
        <v>396585.40723999962</v>
      </c>
      <c r="EM28" s="115">
        <f>'1'!CX34-'1'!CW34</f>
        <v>405006.33398000011</v>
      </c>
      <c r="EN28" s="115">
        <f>'1'!CY34-'1'!CX34</f>
        <v>401271.63919000002</v>
      </c>
      <c r="EO28" s="115">
        <f>'1'!CZ34-'1'!CY34</f>
        <v>461742.51104999986</v>
      </c>
      <c r="EP28" s="115">
        <f>'1'!DB34</f>
        <v>363386.57854000002</v>
      </c>
      <c r="EQ28" s="115">
        <f>'1'!DC34-'1'!DB34</f>
        <v>415266.81387999991</v>
      </c>
      <c r="ER28" s="115">
        <f>'1'!DD34-'1'!DC34</f>
        <v>429396.86533000018</v>
      </c>
      <c r="ES28" s="115">
        <f>'1'!DE34-'1'!DD34</f>
        <v>471917.20111999987</v>
      </c>
      <c r="ET28" s="115">
        <f>'1'!DF34-'1'!DE34</f>
        <v>358954.3630700002</v>
      </c>
      <c r="EU28" s="115">
        <f>'1'!DG34-'1'!DF34</f>
        <v>421128.02071999945</v>
      </c>
      <c r="EV28" s="115">
        <f>'1'!DH34-'1'!DG34</f>
        <v>418536.47725000046</v>
      </c>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row>
    <row r="29" spans="1:185" s="49" customFormat="1" ht="15" customHeight="1">
      <c r="A29" s="24" t="s">
        <v>18</v>
      </c>
      <c r="B29" s="25">
        <f t="shared" ref="B29:M29" si="20">B30-B31</f>
        <v>2615.4640000000036</v>
      </c>
      <c r="C29" s="25">
        <f t="shared" si="20"/>
        <v>-216.44500000000335</v>
      </c>
      <c r="D29" s="25">
        <f t="shared" si="20"/>
        <v>2480.4989999999998</v>
      </c>
      <c r="E29" s="25">
        <f t="shared" si="20"/>
        <v>-4513.2439999999988</v>
      </c>
      <c r="F29" s="25">
        <f t="shared" si="20"/>
        <v>-4899.4119999999966</v>
      </c>
      <c r="G29" s="25">
        <f t="shared" si="20"/>
        <v>-4327.0399999999972</v>
      </c>
      <c r="H29" s="25">
        <f t="shared" si="20"/>
        <v>-4736.937000000009</v>
      </c>
      <c r="I29" s="25">
        <f t="shared" si="20"/>
        <v>5643.1419999999962</v>
      </c>
      <c r="J29" s="25">
        <f t="shared" si="20"/>
        <v>34.335000000002765</v>
      </c>
      <c r="K29" s="25">
        <f t="shared" si="20"/>
        <v>-3745.2669999999998</v>
      </c>
      <c r="L29" s="25">
        <f t="shared" si="20"/>
        <v>-2660.5240000000013</v>
      </c>
      <c r="M29" s="25">
        <f t="shared" si="20"/>
        <v>6103.2699999999968</v>
      </c>
      <c r="N29" s="25">
        <f t="shared" ref="N29:W29" si="21">N30-N31</f>
        <v>-1298.3070000000043</v>
      </c>
      <c r="O29" s="25">
        <f t="shared" si="21"/>
        <v>-1783.0820000000022</v>
      </c>
      <c r="P29" s="25">
        <f t="shared" si="21"/>
        <v>-2881.0889999999999</v>
      </c>
      <c r="Q29" s="25">
        <f t="shared" si="21"/>
        <v>-1097.4199999999983</v>
      </c>
      <c r="R29" s="25">
        <f t="shared" si="21"/>
        <v>-4483.3460000000086</v>
      </c>
      <c r="S29" s="25">
        <f t="shared" si="21"/>
        <v>1742.7570000000051</v>
      </c>
      <c r="T29" s="25">
        <f t="shared" si="21"/>
        <v>-2324.6799999999967</v>
      </c>
      <c r="U29" s="25">
        <f t="shared" si="21"/>
        <v>-515.32000000000335</v>
      </c>
      <c r="V29" s="25">
        <f t="shared" si="21"/>
        <v>-1591.6930000000029</v>
      </c>
      <c r="W29" s="25">
        <f t="shared" si="21"/>
        <v>-5620.5409999999974</v>
      </c>
      <c r="X29" s="25">
        <v>-10089.034999999996</v>
      </c>
      <c r="Y29" s="25">
        <v>-21855.248</v>
      </c>
      <c r="Z29" s="15">
        <f>Z30-Z31</f>
        <v>6091.885999999995</v>
      </c>
      <c r="AA29" s="15">
        <v>3975.1039999999957</v>
      </c>
      <c r="AB29" s="15">
        <v>6211.7630000000008</v>
      </c>
      <c r="AC29" s="15">
        <v>16692.025999999998</v>
      </c>
      <c r="AD29" s="15">
        <v>-90.702999999997701</v>
      </c>
      <c r="AE29" s="15">
        <v>-768.03599999999858</v>
      </c>
      <c r="AF29" s="15">
        <v>21.49399999999514</v>
      </c>
      <c r="AG29" s="15">
        <v>7454.7909999999965</v>
      </c>
      <c r="AH29" s="4">
        <v>4624.9699999999975</v>
      </c>
      <c r="AI29" s="4">
        <v>3179.9029999999957</v>
      </c>
      <c r="AJ29" s="4">
        <v>-2106.6170000000034</v>
      </c>
      <c r="AK29" s="4">
        <v>-11591.859</v>
      </c>
      <c r="AL29" s="4">
        <v>4859.8200000000006</v>
      </c>
      <c r="AM29" s="4">
        <v>14099.268000000002</v>
      </c>
      <c r="AN29" s="4">
        <v>3969.0970000000016</v>
      </c>
      <c r="AO29" s="4">
        <v>585.74399999999832</v>
      </c>
      <c r="AP29" s="4">
        <v>-1090.4090000000001</v>
      </c>
      <c r="AQ29" s="4">
        <v>821.62200000000144</v>
      </c>
      <c r="AR29" s="4">
        <v>3028.4219999999991</v>
      </c>
      <c r="AS29" s="4">
        <v>8113.7909999999993</v>
      </c>
      <c r="AT29" s="4">
        <v>-1403.5920000000033</v>
      </c>
      <c r="AU29" s="4">
        <v>4373.6230000000023</v>
      </c>
      <c r="AV29" s="4">
        <v>3053.4790000000103</v>
      </c>
      <c r="AW29" s="4">
        <v>-4753.0690000000031</v>
      </c>
      <c r="AX29" s="4">
        <v>11773.732</v>
      </c>
      <c r="AY29" s="4">
        <v>4293.6050000000032</v>
      </c>
      <c r="AZ29" s="4">
        <v>1319.7489999999998</v>
      </c>
      <c r="BA29" s="4">
        <v>7091.4670000000006</v>
      </c>
      <c r="BB29" s="4">
        <v>-1280.366</v>
      </c>
      <c r="BC29" s="4">
        <v>2773.0160000000033</v>
      </c>
      <c r="BD29" s="4">
        <v>5704.0749999999971</v>
      </c>
      <c r="BE29" s="4">
        <v>11285.913</v>
      </c>
      <c r="BF29" s="4">
        <v>5839.2340000000004</v>
      </c>
      <c r="BG29" s="4">
        <v>1475.3889999999956</v>
      </c>
      <c r="BH29" s="4">
        <v>-623.56500000000233</v>
      </c>
      <c r="BI29" s="4">
        <v>-14448.796999999999</v>
      </c>
      <c r="BJ29" s="4">
        <f>BJ30-BJ31</f>
        <v>20125.769000000004</v>
      </c>
      <c r="BK29" s="4">
        <f>BK30-BK31</f>
        <v>6580.5909999999858</v>
      </c>
      <c r="BL29" s="4">
        <f>BL30-BL31</f>
        <v>-8600.359999999986</v>
      </c>
      <c r="BM29" s="4">
        <f>BM30-BM31</f>
        <v>18976.602999999974</v>
      </c>
      <c r="BN29" s="4">
        <f>'1'!S35-'1'!R35</f>
        <v>-11191.915999999968</v>
      </c>
      <c r="BO29" s="4">
        <f>'1'!T35-'1'!S35</f>
        <v>-11680.687000000005</v>
      </c>
      <c r="BP29" s="4">
        <f>'1'!U35-'1'!T35</f>
        <v>15322.220000000001</v>
      </c>
      <c r="BQ29" s="4">
        <f>'1'!V35-'1'!U35</f>
        <v>7326.5080000000016</v>
      </c>
      <c r="BR29" s="4">
        <f>'1'!W35-'1'!V35</f>
        <v>-3401.7810000000172</v>
      </c>
      <c r="BS29" s="4">
        <f>'1'!X35-'1'!W35</f>
        <v>22038.456000000006</v>
      </c>
      <c r="BT29" s="4">
        <f>'1'!Y35-'1'!X35</f>
        <v>-17422.416999999958</v>
      </c>
      <c r="BU29" s="4">
        <f>'1'!Z35-'1'!Y35</f>
        <v>-20121.888000000035</v>
      </c>
      <c r="BV29" s="4">
        <v>17951.097999999998</v>
      </c>
      <c r="BW29" s="4">
        <f>'1'!AC35-'1'!AB35</f>
        <v>23464.591999999997</v>
      </c>
      <c r="BX29" s="4">
        <f>'1'!AD35-'1'!AC35</f>
        <v>-7867.5589999999938</v>
      </c>
      <c r="BY29" s="4">
        <f>'1'!AE35-'1'!AD35</f>
        <v>22159.492999999988</v>
      </c>
      <c r="BZ29" s="4">
        <f>'1'!AF35-'1'!AE35</f>
        <v>-12745.364999999991</v>
      </c>
      <c r="CA29" s="4">
        <f>'1'!AG35-'1'!AF35</f>
        <v>-11599.027000000002</v>
      </c>
      <c r="CB29" s="4">
        <f>'1'!AH35-'1'!AG35</f>
        <v>6026.1849999999977</v>
      </c>
      <c r="CC29" s="4">
        <f>'1'!AI35-'1'!AH35</f>
        <v>12144.917999999947</v>
      </c>
      <c r="CD29" s="4">
        <f>'1'!AJ35-'1'!AI35</f>
        <v>-1955.6989999999641</v>
      </c>
      <c r="CE29" s="4">
        <f>'1'!AK35-'1'!AJ35</f>
        <v>20264.57500000007</v>
      </c>
      <c r="CF29" s="4">
        <f>'1'!AL35-'1'!AK35</f>
        <v>-14520.117000000027</v>
      </c>
      <c r="CG29" s="4">
        <f>'1'!AM35-'1'!AL35</f>
        <v>-25578.629000000015</v>
      </c>
      <c r="CH29" s="4">
        <v>892.31899999999951</v>
      </c>
      <c r="CI29" s="4">
        <f>'1'!AP35-'1'!AO35</f>
        <v>614.94300000000658</v>
      </c>
      <c r="CJ29" s="4">
        <f>'1'!AQ35-'1'!AP35</f>
        <v>8698.441000000028</v>
      </c>
      <c r="CK29" s="4">
        <f>'1'!AR35-'1'!AQ35</f>
        <v>15576.955999999976</v>
      </c>
      <c r="CL29" s="4">
        <f>'1'!AS35-'1'!AR35</f>
        <v>-15138.273999999976</v>
      </c>
      <c r="CM29" s="4">
        <f>'1'!AT35-'1'!AS35</f>
        <v>-17244.092000000004</v>
      </c>
      <c r="CN29" s="4">
        <f>'1'!AU35-'1'!AT35</f>
        <v>14974.361999999994</v>
      </c>
      <c r="CO29" s="4">
        <f>'1'!AV35-'1'!AU35</f>
        <v>3935.4389999999548</v>
      </c>
      <c r="CP29" s="4">
        <f>'1'!AW35-'1'!AV35</f>
        <v>-8107.1280000000261</v>
      </c>
      <c r="CQ29" s="4">
        <f>'1'!AX35-'1'!AW35</f>
        <v>18388.451000000059</v>
      </c>
      <c r="CR29" s="4">
        <f>'1'!AY35-'1'!AX35</f>
        <v>-14559.456000000006</v>
      </c>
      <c r="CS29" s="4">
        <f>'1'!AZ35-'1'!AY35</f>
        <v>-16956.945999999996</v>
      </c>
      <c r="CT29" s="4">
        <v>-2822.1859999999979</v>
      </c>
      <c r="CU29" s="4">
        <f>'1'!BC35-'1'!BB35</f>
        <v>25462.905999999988</v>
      </c>
      <c r="CV29" s="4">
        <f>'1'!BD35-'1'!BC35</f>
        <v>-8955.830999999991</v>
      </c>
      <c r="CW29" s="4">
        <f>'1'!BE35-'1'!BD35</f>
        <v>29791.134999999995</v>
      </c>
      <c r="CX29" s="4">
        <f>'1'!BF35-'1'!BE35</f>
        <v>-15943.913999999961</v>
      </c>
      <c r="CY29" s="4">
        <f>'1'!BG35-'1'!BF35</f>
        <v>-20290.410000000033</v>
      </c>
      <c r="CZ29" s="4">
        <f>'1'!BH35-'1'!BG35</f>
        <v>12763.79800000001</v>
      </c>
      <c r="DA29" s="4">
        <f>'1'!BI35-'1'!BH35</f>
        <v>4033.1699999999837</v>
      </c>
      <c r="DB29" s="4">
        <f>'1'!BJ35-'1'!BI35</f>
        <v>-3881.9440000000177</v>
      </c>
      <c r="DC29" s="4">
        <f>'1'!BK35-'1'!BJ35</f>
        <v>26740.901000000013</v>
      </c>
      <c r="DD29" s="4">
        <f>'1'!BL35-'1'!BK35</f>
        <v>-18801.536000000022</v>
      </c>
      <c r="DE29" s="4">
        <f>'1'!BM35-'1'!BL35</f>
        <v>-23096.288</v>
      </c>
      <c r="DF29" s="4">
        <v>-5846.724000000002</v>
      </c>
      <c r="DG29" s="54">
        <f>'1'!BP35-'1'!BO35</f>
        <v>13892.149999999998</v>
      </c>
      <c r="DH29" s="54">
        <f>'1'!BQ35-'1'!BP35</f>
        <v>-10190.078999999983</v>
      </c>
      <c r="DI29" s="54">
        <f>'1'!BR35-'1'!BQ35</f>
        <v>22756.446999999986</v>
      </c>
      <c r="DJ29" s="54">
        <f>'1'!BS35-'1'!BR35</f>
        <v>-13658.241999999998</v>
      </c>
      <c r="DK29" s="54">
        <f>'1'!BT35-'1'!BS35</f>
        <v>-15599.094000000041</v>
      </c>
      <c r="DL29" s="54">
        <f>'1'!BU35-'1'!BT35</f>
        <v>29700.113000000012</v>
      </c>
      <c r="DM29" s="54">
        <f>'1'!BV35-'1'!BU35</f>
        <v>10417.548999999999</v>
      </c>
      <c r="DN29" s="54">
        <f>'1'!BW35-'1'!BV35</f>
        <v>-7984.10699999996</v>
      </c>
      <c r="DO29" s="54">
        <f>'1'!BX35-'1'!BW35</f>
        <v>25544.707999999984</v>
      </c>
      <c r="DP29" s="54">
        <f>'1'!BY35-'1'!BX35</f>
        <v>-17373.22100000002</v>
      </c>
      <c r="DQ29" s="54">
        <f>'1'!BZ35-'1'!BY35</f>
        <v>-35843.579999999958</v>
      </c>
      <c r="DR29" s="54">
        <v>-5196.3659999999982</v>
      </c>
      <c r="DS29" s="54">
        <f>'1'!CC35-'1'!CB35</f>
        <v>-477.49700000000303</v>
      </c>
      <c r="DT29" s="54">
        <f>'1'!CD35-'1'!CC35</f>
        <v>-3054.8899999999994</v>
      </c>
      <c r="DU29" s="54">
        <f>'1'!CE35-'1'!CD35</f>
        <v>42386.13400000002</v>
      </c>
      <c r="DV29" s="54">
        <f>'1'!CF35-'1'!CE35</f>
        <v>-9283.5900000000256</v>
      </c>
      <c r="DW29" s="54">
        <f>'1'!CG35-'1'!CF35</f>
        <v>-5665.6260000000184</v>
      </c>
      <c r="DX29" s="54">
        <f>'1'!CH35-'1'!CG35</f>
        <v>24929.571000000054</v>
      </c>
      <c r="DY29" s="54">
        <f>'1'!CI35-'1'!CH35</f>
        <v>-1466.1579999999958</v>
      </c>
      <c r="DZ29" s="54">
        <f>'1'!CJ35-'1'!CI35</f>
        <v>-5393.445000000007</v>
      </c>
      <c r="EA29" s="54">
        <f>'1'!CK35-'1'!CJ35</f>
        <v>-852.13100000005215</v>
      </c>
      <c r="EB29" s="54">
        <f>'1'!CL35-'1'!CK35</f>
        <v>4232.8929999999818</v>
      </c>
      <c r="EC29" s="54">
        <f>'1'!CM35-'1'!CL35</f>
        <v>-4662.98199999996</v>
      </c>
      <c r="ED29" s="54">
        <f>'1'!CO35</f>
        <v>11432.634000000002</v>
      </c>
      <c r="EE29" s="54">
        <f>'1'!CP35-'1'!CO35</f>
        <v>7974.6679999999942</v>
      </c>
      <c r="EF29" s="54">
        <f>'1'!CQ35-'1'!CP35</f>
        <v>-5933.8899999999849</v>
      </c>
      <c r="EG29" s="54">
        <f>'1'!CR35-'1'!CQ35</f>
        <v>10655.127000000008</v>
      </c>
      <c r="EH29" s="54">
        <f>'1'!CS35-'1'!CR35</f>
        <v>22145.316999999952</v>
      </c>
      <c r="EI29" s="54">
        <f>'1'!CT35-'1'!CS35</f>
        <v>38703.577000000048</v>
      </c>
      <c r="EJ29" s="54">
        <f>'1'!CU35-'1'!CT35</f>
        <v>20086.873000000021</v>
      </c>
      <c r="EK29" s="54">
        <f>'1'!CV35-'1'!CU35</f>
        <v>3842.3169999999227</v>
      </c>
      <c r="EL29" s="54">
        <f>'1'!CW35-'1'!CV35</f>
        <v>1181.0779999999795</v>
      </c>
      <c r="EM29" s="54">
        <f>'1'!CX35-'1'!CW35</f>
        <v>13323.33400000009</v>
      </c>
      <c r="EN29" s="54">
        <f>'1'!CY35-'1'!CX35</f>
        <v>-25163.231000000029</v>
      </c>
      <c r="EO29" s="54">
        <f>'1'!CZ35-'1'!CY35</f>
        <v>-44451.52899999998</v>
      </c>
      <c r="EP29" s="54">
        <f>'1'!DB35</f>
        <v>31555.733999999997</v>
      </c>
      <c r="EQ29" s="54">
        <f>'1'!DC35-'1'!DB35</f>
        <v>-8465.0779999999941</v>
      </c>
      <c r="ER29" s="54">
        <f>'1'!DD35-'1'!DC35</f>
        <v>-4487.1870000000199</v>
      </c>
      <c r="ES29" s="54">
        <f>'1'!DE35-'1'!DD35</f>
        <v>16524.257000000012</v>
      </c>
      <c r="ET29" s="54">
        <f>'1'!DF35-'1'!DE35</f>
        <v>5999.8770000000077</v>
      </c>
      <c r="EU29" s="54">
        <f>'1'!DG35-'1'!DF35</f>
        <v>16977.448999999964</v>
      </c>
      <c r="EV29" s="54">
        <f>'1'!DH35-'1'!DG35</f>
        <v>2606.7750000000233</v>
      </c>
      <c r="EY29" s="66"/>
      <c r="EZ29" s="66"/>
      <c r="FA29" s="66"/>
      <c r="FB29" s="66"/>
      <c r="FC29" s="66"/>
      <c r="FD29" s="66"/>
      <c r="FE29" s="66"/>
      <c r="FF29" s="66"/>
      <c r="FG29" s="66"/>
      <c r="FH29" s="66"/>
      <c r="FI29" s="66"/>
      <c r="FJ29" s="66"/>
      <c r="FK29" s="66"/>
      <c r="FL29" s="66"/>
      <c r="FM29" s="66"/>
      <c r="FN29" s="66"/>
      <c r="FO29" s="66"/>
      <c r="FP29" s="66"/>
      <c r="FQ29" s="66"/>
      <c r="FR29" s="66"/>
      <c r="FS29" s="66"/>
      <c r="FT29" s="66"/>
      <c r="FU29" s="66"/>
      <c r="FV29" s="66"/>
      <c r="FW29" s="66"/>
      <c r="FX29" s="66"/>
      <c r="FY29" s="66"/>
      <c r="FZ29" s="66"/>
      <c r="GA29" s="66"/>
      <c r="GB29" s="66"/>
      <c r="GC29" s="66"/>
    </row>
    <row r="30" spans="1:185" s="46" customFormat="1" ht="15" customHeight="1">
      <c r="A30" s="23" t="s">
        <v>2</v>
      </c>
      <c r="B30" s="20">
        <v>20689.442000000003</v>
      </c>
      <c r="C30" s="20">
        <v>24305.702000000001</v>
      </c>
      <c r="D30" s="20">
        <v>28887.360000000001</v>
      </c>
      <c r="E30" s="20">
        <v>24867.307000000001</v>
      </c>
      <c r="F30" s="20">
        <v>18642.697</v>
      </c>
      <c r="G30" s="20">
        <v>24303.128000000001</v>
      </c>
      <c r="H30" s="20">
        <v>24990.452999999998</v>
      </c>
      <c r="I30" s="20">
        <v>27110.219999999998</v>
      </c>
      <c r="J30" s="20">
        <v>25196.623000000003</v>
      </c>
      <c r="K30" s="20">
        <v>29536.773000000001</v>
      </c>
      <c r="L30" s="20">
        <v>28793.466</v>
      </c>
      <c r="M30" s="20">
        <v>47601.040999999997</v>
      </c>
      <c r="N30" s="20">
        <v>20672.380999999998</v>
      </c>
      <c r="O30" s="20">
        <v>27290.821</v>
      </c>
      <c r="P30" s="20">
        <v>26862.766</v>
      </c>
      <c r="Q30" s="20">
        <v>26669.876</v>
      </c>
      <c r="R30" s="20">
        <v>26230.224999999995</v>
      </c>
      <c r="S30" s="20">
        <v>38696.420000000006</v>
      </c>
      <c r="T30" s="20">
        <v>29925.621000000003</v>
      </c>
      <c r="U30" s="20">
        <v>26590.499</v>
      </c>
      <c r="V30" s="20">
        <v>28030.401999999998</v>
      </c>
      <c r="W30" s="20">
        <v>24409.802000000003</v>
      </c>
      <c r="X30" s="20">
        <v>30999.077000000005</v>
      </c>
      <c r="Y30" s="20">
        <v>33223.046999999999</v>
      </c>
      <c r="Z30" s="21">
        <v>21470.41</v>
      </c>
      <c r="AA30" s="21">
        <v>26999.328999999998</v>
      </c>
      <c r="AB30" s="21">
        <v>30891.093000000001</v>
      </c>
      <c r="AC30" s="21">
        <v>41317.531000000003</v>
      </c>
      <c r="AD30" s="21">
        <v>23520.394</v>
      </c>
      <c r="AE30" s="21">
        <v>22552.227000000003</v>
      </c>
      <c r="AF30" s="21">
        <v>26835.414999999997</v>
      </c>
      <c r="AG30" s="21">
        <v>25265.607999999997</v>
      </c>
      <c r="AH30" s="7">
        <v>23436.753000000001</v>
      </c>
      <c r="AI30" s="7">
        <v>25200.111000000001</v>
      </c>
      <c r="AJ30" s="7">
        <v>22386.709999999995</v>
      </c>
      <c r="AK30" s="7">
        <v>28836.712</v>
      </c>
      <c r="AL30" s="7">
        <v>18539.543999999998</v>
      </c>
      <c r="AM30" s="7">
        <v>37221.825000000004</v>
      </c>
      <c r="AN30" s="7">
        <v>29404.528999999999</v>
      </c>
      <c r="AO30" s="7">
        <v>28389.563999999998</v>
      </c>
      <c r="AP30" s="7">
        <v>24150.618999999999</v>
      </c>
      <c r="AQ30" s="7">
        <v>28714.750000000004</v>
      </c>
      <c r="AR30" s="7">
        <v>31351.008999999998</v>
      </c>
      <c r="AS30" s="7">
        <v>32672.165999999997</v>
      </c>
      <c r="AT30" s="7">
        <v>25701.482</v>
      </c>
      <c r="AU30" s="7">
        <v>31138.041000000001</v>
      </c>
      <c r="AV30" s="7">
        <v>34305.498000000007</v>
      </c>
      <c r="AW30" s="7">
        <v>44326.743999999999</v>
      </c>
      <c r="AX30" s="7">
        <v>29627.258000000002</v>
      </c>
      <c r="AY30" s="7">
        <v>33699.686000000002</v>
      </c>
      <c r="AZ30" s="7">
        <v>32257.048999999999</v>
      </c>
      <c r="BA30" s="7">
        <v>39474.425999999999</v>
      </c>
      <c r="BB30" s="7">
        <v>31154.901999999998</v>
      </c>
      <c r="BC30" s="7">
        <v>37163.546999999999</v>
      </c>
      <c r="BD30" s="7">
        <v>41088.161999999997</v>
      </c>
      <c r="BE30" s="7">
        <v>40760.375</v>
      </c>
      <c r="BF30" s="7">
        <v>32346.617999999999</v>
      </c>
      <c r="BG30" s="7">
        <v>38456.449999999997</v>
      </c>
      <c r="BH30" s="7">
        <v>33954.385999999999</v>
      </c>
      <c r="BI30" s="7">
        <v>43485.417999999998</v>
      </c>
      <c r="BJ30" s="7">
        <v>41192.368000000002</v>
      </c>
      <c r="BK30" s="7">
        <v>43601.918999999994</v>
      </c>
      <c r="BL30" s="7">
        <v>26873.786999999997</v>
      </c>
      <c r="BM30" s="7">
        <v>59907.505999999994</v>
      </c>
      <c r="BN30" s="7">
        <f>'1'!S36-'1'!R36</f>
        <v>24384.604000000021</v>
      </c>
      <c r="BO30" s="7">
        <f>'1'!T36-'1'!S36</f>
        <v>23305.815999999992</v>
      </c>
      <c r="BP30" s="7">
        <f>'1'!U36-'1'!T36</f>
        <v>60799.130000000005</v>
      </c>
      <c r="BQ30" s="7">
        <f>'1'!V36-'1'!U36</f>
        <v>38011.713999999978</v>
      </c>
      <c r="BR30" s="7">
        <f>'1'!W36-'1'!V36</f>
        <v>31362.515000000014</v>
      </c>
      <c r="BS30" s="7">
        <f>'1'!X36-'1'!W36</f>
        <v>61268.353999999992</v>
      </c>
      <c r="BT30" s="7">
        <f>'1'!Y36-'1'!X36</f>
        <v>20340.502000000037</v>
      </c>
      <c r="BU30" s="7">
        <f>'1'!Z36-'1'!Y36</f>
        <v>35391.761999999988</v>
      </c>
      <c r="BV30" s="7">
        <v>34050.796000000002</v>
      </c>
      <c r="BW30" s="7">
        <f>'1'!AC36-'1'!AB36</f>
        <v>59800.191999999995</v>
      </c>
      <c r="BX30" s="7">
        <f>'1'!AD36-'1'!AC36</f>
        <v>28300.107000000004</v>
      </c>
      <c r="BY30" s="7">
        <f>'1'!AE36-'1'!AD36</f>
        <v>58719.157999999996</v>
      </c>
      <c r="BZ30" s="7">
        <f>'1'!AF36-'1'!AE36</f>
        <v>18764.404999999999</v>
      </c>
      <c r="CA30" s="7">
        <f>'1'!AG36-'1'!AF36</f>
        <v>25221.342000000004</v>
      </c>
      <c r="CB30" s="7">
        <f>'1'!AH36-'1'!AG36</f>
        <v>52992.869000000006</v>
      </c>
      <c r="CC30" s="7">
        <f>'1'!AI36-'1'!AH36</f>
        <v>42692.937999999966</v>
      </c>
      <c r="CD30" s="7">
        <f>'1'!AJ36-'1'!AI36</f>
        <v>33420.378000000026</v>
      </c>
      <c r="CE30" s="7">
        <f>'1'!AK36-'1'!AJ36</f>
        <v>62085.052000000025</v>
      </c>
      <c r="CF30" s="7">
        <f>'1'!AL36-'1'!AK36</f>
        <v>22483.245999999985</v>
      </c>
      <c r="CG30" s="7">
        <f>'1'!AM36-'1'!AL36</f>
        <v>36698.375</v>
      </c>
      <c r="CH30" s="7">
        <v>18732.02</v>
      </c>
      <c r="CI30" s="7">
        <f>'1'!AP36-'1'!AO36</f>
        <v>34683.082000000009</v>
      </c>
      <c r="CJ30" s="7">
        <f>'1'!AQ36-'1'!AP36</f>
        <v>46623.905000000013</v>
      </c>
      <c r="CK30" s="7">
        <f>'1'!AR36-'1'!AQ36</f>
        <v>56995.337999999989</v>
      </c>
      <c r="CL30" s="7">
        <f>'1'!AS36-'1'!AR36</f>
        <v>24019.482000000018</v>
      </c>
      <c r="CM30" s="7">
        <f>'1'!AT36-'1'!AS36</f>
        <v>24076.871000000014</v>
      </c>
      <c r="CN30" s="7">
        <f>'1'!AU36-'1'!AT36</f>
        <v>61330.174999999988</v>
      </c>
      <c r="CO30" s="7">
        <f>'1'!AV36-'1'!AU36</f>
        <v>41780.620999999985</v>
      </c>
      <c r="CP30" s="7">
        <f>'1'!AW36-'1'!AV36</f>
        <v>26774.512999999977</v>
      </c>
      <c r="CQ30" s="7">
        <f>'1'!AX36-'1'!AW36</f>
        <v>60603.882000000041</v>
      </c>
      <c r="CR30" s="7">
        <f>'1'!AY36-'1'!AX36</f>
        <v>28851.283999999985</v>
      </c>
      <c r="CS30" s="7">
        <f>'1'!AZ36-'1'!AY36</f>
        <v>50559.128000000026</v>
      </c>
      <c r="CT30" s="7">
        <v>21086.86</v>
      </c>
      <c r="CU30" s="7">
        <f>'1'!BC36-'1'!BB36</f>
        <v>63112.107999999986</v>
      </c>
      <c r="CV30" s="7">
        <f>'1'!BD36-'1'!BC36</f>
        <v>40917.719000000012</v>
      </c>
      <c r="CW30" s="7">
        <f>'1'!BE36-'1'!BD36</f>
        <v>71088.774999999994</v>
      </c>
      <c r="CX30" s="7">
        <f>'1'!BF36-'1'!BE36</f>
        <v>27077.737000000023</v>
      </c>
      <c r="CY30" s="7">
        <f>'1'!BG36-'1'!BF36</f>
        <v>23027.453999999998</v>
      </c>
      <c r="CZ30" s="7">
        <f>'1'!BH36-'1'!BG36</f>
        <v>60558.94299999997</v>
      </c>
      <c r="DA30" s="7">
        <f>'1'!BI36-'1'!BH36</f>
        <v>42965.101000000024</v>
      </c>
      <c r="DB30" s="7">
        <f>'1'!BJ36-'1'!BI36</f>
        <v>36435.94</v>
      </c>
      <c r="DC30" s="7">
        <f>'1'!BK36-'1'!BJ36</f>
        <v>76312.592999999993</v>
      </c>
      <c r="DD30" s="7">
        <f>'1'!BL36-'1'!BK36</f>
        <v>28670.816999999981</v>
      </c>
      <c r="DE30" s="7">
        <f>'1'!BM36-'1'!BL36</f>
        <v>51513.439000000013</v>
      </c>
      <c r="DF30" s="7">
        <v>24612.749</v>
      </c>
      <c r="DG30" s="115">
        <f>'1'!BP36-'1'!BO36</f>
        <v>58599.35</v>
      </c>
      <c r="DH30" s="115">
        <f>'1'!BQ36-'1'!BP36</f>
        <v>40133.988000000012</v>
      </c>
      <c r="DI30" s="115">
        <f>'1'!BR36-'1'!BQ36</f>
        <v>71435.25</v>
      </c>
      <c r="DJ30" s="115">
        <f>'1'!BS36-'1'!BR36</f>
        <v>33156.973999999987</v>
      </c>
      <c r="DK30" s="115">
        <f>'1'!BT36-'1'!BS36</f>
        <v>36388.530999999988</v>
      </c>
      <c r="DL30" s="115">
        <f>'1'!BU36-'1'!BT36</f>
        <v>80289.852000000014</v>
      </c>
      <c r="DM30" s="115">
        <f>'1'!BV36-'1'!BU36</f>
        <v>54077.152999999991</v>
      </c>
      <c r="DN30" s="115">
        <f>'1'!BW36-'1'!BV36</f>
        <v>34079.108000000007</v>
      </c>
      <c r="DO30" s="115">
        <f>'1'!BX36-'1'!BW36</f>
        <v>77102.934999999998</v>
      </c>
      <c r="DP30" s="115">
        <f>'1'!BY36-'1'!BX36</f>
        <v>39663.768999999971</v>
      </c>
      <c r="DQ30" s="115">
        <f>'1'!BZ36-'1'!BY36</f>
        <v>46000.189000000013</v>
      </c>
      <c r="DR30" s="115">
        <v>27707.257000000001</v>
      </c>
      <c r="DS30" s="115">
        <f>'1'!CC36-'1'!CB36</f>
        <v>51597.072</v>
      </c>
      <c r="DT30" s="115">
        <f>'1'!CD36-'1'!CC36</f>
        <v>45255.625</v>
      </c>
      <c r="DU30" s="115">
        <f>'1'!CE36-'1'!CD36</f>
        <v>90957.578000000009</v>
      </c>
      <c r="DV30" s="115">
        <f>'1'!CF36-'1'!CE36</f>
        <v>36929.706999999995</v>
      </c>
      <c r="DW30" s="115">
        <f>'1'!CG36-'1'!CF36</f>
        <v>43929.880999999994</v>
      </c>
      <c r="DX30" s="115">
        <f>'1'!CH36-'1'!CG36</f>
        <v>80444.209000000032</v>
      </c>
      <c r="DY30" s="115">
        <f>'1'!CI36-'1'!CH36</f>
        <v>41952.718999999983</v>
      </c>
      <c r="DZ30" s="115">
        <f>'1'!CJ36-'1'!CI36</f>
        <v>35351.957999999984</v>
      </c>
      <c r="EA30" s="115">
        <f>'1'!CK36-'1'!CJ36</f>
        <v>60427.034999999974</v>
      </c>
      <c r="EB30" s="115">
        <f>'1'!CL36-'1'!CK36</f>
        <v>61527.266999999993</v>
      </c>
      <c r="EC30" s="115">
        <f>'1'!CM36-'1'!CL36</f>
        <v>74435.292000000016</v>
      </c>
      <c r="ED30" s="115">
        <f>'1'!CO36</f>
        <v>43670.038</v>
      </c>
      <c r="EE30" s="115">
        <f>'1'!CP36-'1'!CO36</f>
        <v>55903.902000000002</v>
      </c>
      <c r="EF30" s="115">
        <f>'1'!CQ36-'1'!CP36</f>
        <v>46895.594000000012</v>
      </c>
      <c r="EG30" s="115">
        <f>'1'!CR36-'1'!CQ36</f>
        <v>70871.75</v>
      </c>
      <c r="EH30" s="115">
        <f>'1'!CS36-'1'!CR36</f>
        <v>69729.722999999969</v>
      </c>
      <c r="EI30" s="115">
        <f>'1'!CT36-'1'!CS36</f>
        <v>95569.502000000037</v>
      </c>
      <c r="EJ30" s="115">
        <f>'1'!CU36-'1'!CT36</f>
        <v>79425.875</v>
      </c>
      <c r="EK30" s="115">
        <f>'1'!CV36-'1'!CU36</f>
        <v>56172.002999999968</v>
      </c>
      <c r="EL30" s="115">
        <f>'1'!CW36-'1'!CV36</f>
        <v>54288.273999999976</v>
      </c>
      <c r="EM30" s="115">
        <f>'1'!CX36-'1'!CW36</f>
        <v>76191.197000000044</v>
      </c>
      <c r="EN30" s="115">
        <f>'1'!CY36-'1'!CX36</f>
        <v>33926.285999999964</v>
      </c>
      <c r="EO30" s="115">
        <f>'1'!CZ36-'1'!CY36</f>
        <v>52235.611000000034</v>
      </c>
      <c r="EP30" s="115">
        <f>'1'!DB36</f>
        <v>65775.525999999998</v>
      </c>
      <c r="EQ30" s="115">
        <f>'1'!DC36-'1'!DB36</f>
        <v>50622.710000000006</v>
      </c>
      <c r="ER30" s="115">
        <f>'1'!DD36-'1'!DC36</f>
        <v>57846.14499999999</v>
      </c>
      <c r="ES30" s="115">
        <f>'1'!DE36-'1'!DD36</f>
        <v>88069.352000000014</v>
      </c>
      <c r="ET30" s="115">
        <f>'1'!DF36-'1'!DE36</f>
        <v>76639.985999999975</v>
      </c>
      <c r="EU30" s="115">
        <f>'1'!DG36-'1'!DF36</f>
        <v>87287.842999999993</v>
      </c>
      <c r="EV30" s="115">
        <f>'1'!DH36-'1'!DG36</f>
        <v>77707.084000000032</v>
      </c>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row>
    <row r="31" spans="1:185" s="46" customFormat="1" ht="15" customHeight="1">
      <c r="A31" s="23" t="s">
        <v>7</v>
      </c>
      <c r="B31" s="20">
        <v>18073.977999999999</v>
      </c>
      <c r="C31" s="20">
        <v>24522.147000000004</v>
      </c>
      <c r="D31" s="20">
        <v>26406.861000000001</v>
      </c>
      <c r="E31" s="20">
        <v>29380.550999999999</v>
      </c>
      <c r="F31" s="20">
        <v>23542.108999999997</v>
      </c>
      <c r="G31" s="20">
        <v>28630.167999999998</v>
      </c>
      <c r="H31" s="20">
        <v>29727.390000000007</v>
      </c>
      <c r="I31" s="20">
        <v>21467.078000000001</v>
      </c>
      <c r="J31" s="20">
        <v>25162.288</v>
      </c>
      <c r="K31" s="20">
        <v>33282.04</v>
      </c>
      <c r="L31" s="20">
        <v>31453.99</v>
      </c>
      <c r="M31" s="20">
        <v>41497.771000000001</v>
      </c>
      <c r="N31" s="20">
        <v>21970.688000000002</v>
      </c>
      <c r="O31" s="20">
        <v>29073.903000000002</v>
      </c>
      <c r="P31" s="20">
        <v>29743.855</v>
      </c>
      <c r="Q31" s="20">
        <v>27767.295999999998</v>
      </c>
      <c r="R31" s="20">
        <v>30713.571000000004</v>
      </c>
      <c r="S31" s="20">
        <v>36953.663</v>
      </c>
      <c r="T31" s="20">
        <v>32250.300999999999</v>
      </c>
      <c r="U31" s="20">
        <v>27105.819000000003</v>
      </c>
      <c r="V31" s="20">
        <v>29622.095000000001</v>
      </c>
      <c r="W31" s="20">
        <v>30030.343000000001</v>
      </c>
      <c r="X31" s="20">
        <v>41088.112000000001</v>
      </c>
      <c r="Y31" s="20">
        <v>55078.294999999998</v>
      </c>
      <c r="Z31" s="21">
        <v>15378.524000000005</v>
      </c>
      <c r="AA31" s="21">
        <v>23024.225000000002</v>
      </c>
      <c r="AB31" s="21">
        <v>24679.33</v>
      </c>
      <c r="AC31" s="21">
        <v>24625.505000000005</v>
      </c>
      <c r="AD31" s="21">
        <v>23611.096999999998</v>
      </c>
      <c r="AE31" s="21">
        <v>23320.262999999999</v>
      </c>
      <c r="AF31" s="21">
        <v>26813.921000000002</v>
      </c>
      <c r="AG31" s="21">
        <v>17810.816999999999</v>
      </c>
      <c r="AH31" s="7">
        <v>18811.783000000003</v>
      </c>
      <c r="AI31" s="7">
        <v>22020.208000000002</v>
      </c>
      <c r="AJ31" s="7">
        <v>24493.327000000001</v>
      </c>
      <c r="AK31" s="7">
        <v>40428.570999999996</v>
      </c>
      <c r="AL31" s="7">
        <v>13679.723999999998</v>
      </c>
      <c r="AM31" s="7">
        <v>23122.557000000001</v>
      </c>
      <c r="AN31" s="7">
        <v>25435.431999999997</v>
      </c>
      <c r="AO31" s="7">
        <v>27803.820000000003</v>
      </c>
      <c r="AP31" s="7">
        <v>25241.027999999998</v>
      </c>
      <c r="AQ31" s="7">
        <v>27893.128000000001</v>
      </c>
      <c r="AR31" s="7">
        <v>28322.587</v>
      </c>
      <c r="AS31" s="7">
        <v>24558.374999999996</v>
      </c>
      <c r="AT31" s="7">
        <v>27105.074000000001</v>
      </c>
      <c r="AU31" s="7">
        <v>26764.417999999998</v>
      </c>
      <c r="AV31" s="7">
        <v>31252.018999999997</v>
      </c>
      <c r="AW31" s="7">
        <v>49079.813000000002</v>
      </c>
      <c r="AX31" s="7">
        <v>17853.526000000002</v>
      </c>
      <c r="AY31" s="7">
        <v>29406.080999999998</v>
      </c>
      <c r="AZ31" s="7">
        <v>30937.3</v>
      </c>
      <c r="BA31" s="7">
        <v>32382.958999999999</v>
      </c>
      <c r="BB31" s="7">
        <v>32435.268</v>
      </c>
      <c r="BC31" s="7">
        <v>34394.434000000001</v>
      </c>
      <c r="BD31" s="7">
        <v>35384.087</v>
      </c>
      <c r="BE31" s="7">
        <v>29474.462</v>
      </c>
      <c r="BF31" s="7">
        <v>26507.383999999998</v>
      </c>
      <c r="BG31" s="7">
        <v>36981.061000000002</v>
      </c>
      <c r="BH31" s="7">
        <v>34577.951000000001</v>
      </c>
      <c r="BI31" s="7">
        <v>57934.214999999997</v>
      </c>
      <c r="BJ31" s="7">
        <v>21066.598999999998</v>
      </c>
      <c r="BK31" s="7">
        <v>37021.328000000009</v>
      </c>
      <c r="BL31" s="7">
        <v>35474.146999999983</v>
      </c>
      <c r="BM31" s="7">
        <v>40930.90300000002</v>
      </c>
      <c r="BN31" s="7">
        <f>'1'!S37-'1'!R37</f>
        <v>35576.51999999999</v>
      </c>
      <c r="BO31" s="7">
        <f>'1'!T37-'1'!S37</f>
        <v>34986.502999999997</v>
      </c>
      <c r="BP31" s="7">
        <f>'1'!U37-'1'!T37</f>
        <v>45476.91</v>
      </c>
      <c r="BQ31" s="7">
        <f>'1'!V37-'1'!U37</f>
        <v>30685.205999999976</v>
      </c>
      <c r="BR31" s="7">
        <f>'1'!W37-'1'!V37</f>
        <v>34764.296000000031</v>
      </c>
      <c r="BS31" s="7">
        <f>'1'!X37-'1'!W37</f>
        <v>39229.897999999986</v>
      </c>
      <c r="BT31" s="7">
        <f>'1'!Y37-'1'!X37</f>
        <v>37762.918999999994</v>
      </c>
      <c r="BU31" s="7">
        <f>'1'!Z37-'1'!Y37</f>
        <v>55513.650000000023</v>
      </c>
      <c r="BV31" s="7">
        <v>26569.93</v>
      </c>
      <c r="BW31" s="7">
        <f>'1'!AC37-'1'!AB37</f>
        <v>36335.599999999999</v>
      </c>
      <c r="BX31" s="7">
        <f>'1'!AD37-'1'!AC37</f>
        <v>36167.665999999997</v>
      </c>
      <c r="BY31" s="7">
        <f>'1'!AE37-'1'!AD37</f>
        <v>36559.665000000008</v>
      </c>
      <c r="BZ31" s="7">
        <f>'1'!AF37-'1'!AE37</f>
        <v>31509.76999999999</v>
      </c>
      <c r="CA31" s="7">
        <f>'1'!AG37-'1'!AF37</f>
        <v>36820.369000000006</v>
      </c>
      <c r="CB31" s="7">
        <f>'1'!AH37-'1'!AG37</f>
        <v>46966.684000000008</v>
      </c>
      <c r="CC31" s="7">
        <f>'1'!AI37-'1'!AH37</f>
        <v>30548.020000000019</v>
      </c>
      <c r="CD31" s="7">
        <f>'1'!AJ37-'1'!AI37</f>
        <v>35376.07699999999</v>
      </c>
      <c r="CE31" s="7">
        <f>'1'!AK37-'1'!AJ37</f>
        <v>41820.476999999955</v>
      </c>
      <c r="CF31" s="7">
        <f>'1'!AL37-'1'!AK37</f>
        <v>37003.363000000012</v>
      </c>
      <c r="CG31" s="7">
        <f>'1'!AM37-'1'!AL37</f>
        <v>62277.004000000015</v>
      </c>
      <c r="CH31" s="7">
        <v>17839.701000000001</v>
      </c>
      <c r="CI31" s="7">
        <f>'1'!AP37-'1'!AO37</f>
        <v>34068.139000000003</v>
      </c>
      <c r="CJ31" s="7">
        <f>'1'!AQ37-'1'!AP37</f>
        <v>37925.463999999985</v>
      </c>
      <c r="CK31" s="7">
        <f>'1'!AR37-'1'!AQ37</f>
        <v>41418.382000000012</v>
      </c>
      <c r="CL31" s="7">
        <f>'1'!AS37-'1'!AR37</f>
        <v>39157.755999999994</v>
      </c>
      <c r="CM31" s="7">
        <f>'1'!AT37-'1'!AS37</f>
        <v>41320.963000000018</v>
      </c>
      <c r="CN31" s="7">
        <f>'1'!AU37-'1'!AT37</f>
        <v>46355.812999999995</v>
      </c>
      <c r="CO31" s="7">
        <f>'1'!AV37-'1'!AU37</f>
        <v>37845.18200000003</v>
      </c>
      <c r="CP31" s="7">
        <f>'1'!AW37-'1'!AV37</f>
        <v>34881.641000000003</v>
      </c>
      <c r="CQ31" s="7">
        <f>'1'!AX37-'1'!AW37</f>
        <v>42215.430999999982</v>
      </c>
      <c r="CR31" s="7">
        <f>'1'!AY37-'1'!AX37</f>
        <v>43410.739999999991</v>
      </c>
      <c r="CS31" s="7">
        <f>'1'!AZ37-'1'!AY37</f>
        <v>67516.074000000022</v>
      </c>
      <c r="CT31" s="7">
        <v>23909.045999999998</v>
      </c>
      <c r="CU31" s="7">
        <f>'1'!BC37-'1'!BB37</f>
        <v>37649.201999999997</v>
      </c>
      <c r="CV31" s="7">
        <f>'1'!BD37-'1'!BC37</f>
        <v>49873.55</v>
      </c>
      <c r="CW31" s="7">
        <f>'1'!BE37-'1'!BD37</f>
        <v>41297.64</v>
      </c>
      <c r="CX31" s="7">
        <f>'1'!BF37-'1'!BE37</f>
        <v>43021.650999999983</v>
      </c>
      <c r="CY31" s="7">
        <f>'1'!BG37-'1'!BF37</f>
        <v>43317.864000000031</v>
      </c>
      <c r="CZ31" s="7">
        <f>'1'!BH37-'1'!BG37</f>
        <v>47795.14499999996</v>
      </c>
      <c r="DA31" s="7">
        <f>'1'!BI37-'1'!BH37</f>
        <v>38931.931000000041</v>
      </c>
      <c r="DB31" s="7">
        <f>'1'!BJ37-'1'!BI37</f>
        <v>40317.88400000002</v>
      </c>
      <c r="DC31" s="7">
        <f>'1'!BK37-'1'!BJ37</f>
        <v>49571.691999999981</v>
      </c>
      <c r="DD31" s="7">
        <f>'1'!BL37-'1'!BK37</f>
        <v>47472.353000000003</v>
      </c>
      <c r="DE31" s="7">
        <f>'1'!BM37-'1'!BL37</f>
        <v>74609.727000000014</v>
      </c>
      <c r="DF31" s="7">
        <v>30459.473000000002</v>
      </c>
      <c r="DG31" s="115">
        <f>'1'!BP37-'1'!BO37</f>
        <v>44707.199999999997</v>
      </c>
      <c r="DH31" s="115">
        <f>'1'!BQ37-'1'!BP37</f>
        <v>50324.066999999995</v>
      </c>
      <c r="DI31" s="115">
        <f>'1'!BR37-'1'!BQ37</f>
        <v>48678.803000000014</v>
      </c>
      <c r="DJ31" s="115">
        <f>'1'!BS37-'1'!BR37</f>
        <v>46815.215999999986</v>
      </c>
      <c r="DK31" s="115">
        <f>'1'!BT37-'1'!BS37</f>
        <v>51987.625000000029</v>
      </c>
      <c r="DL31" s="115">
        <f>'1'!BU37-'1'!BT37</f>
        <v>50589.739000000001</v>
      </c>
      <c r="DM31" s="115">
        <f>'1'!BV37-'1'!BU37</f>
        <v>43659.603999999992</v>
      </c>
      <c r="DN31" s="115">
        <f>'1'!BW37-'1'!BV37</f>
        <v>42063.214999999967</v>
      </c>
      <c r="DO31" s="115">
        <f>'1'!BX37-'1'!BW37</f>
        <v>51558.227000000014</v>
      </c>
      <c r="DP31" s="115">
        <f>'1'!BY37-'1'!BX37</f>
        <v>57036.989999999991</v>
      </c>
      <c r="DQ31" s="115">
        <f>'1'!BZ37-'1'!BY37</f>
        <v>81843.768999999971</v>
      </c>
      <c r="DR31" s="115">
        <v>32903.623</v>
      </c>
      <c r="DS31" s="115">
        <f>'1'!CC37-'1'!CB37</f>
        <v>52074.569000000003</v>
      </c>
      <c r="DT31" s="115">
        <f>'1'!CD37-'1'!CC37</f>
        <v>48310.514999999999</v>
      </c>
      <c r="DU31" s="115">
        <f>'1'!CE37-'1'!CD37</f>
        <v>48571.443999999989</v>
      </c>
      <c r="DV31" s="115">
        <f>'1'!CF37-'1'!CE37</f>
        <v>46213.29700000002</v>
      </c>
      <c r="DW31" s="115">
        <f>'1'!CG37-'1'!CF37</f>
        <v>49595.507000000012</v>
      </c>
      <c r="DX31" s="115">
        <f>'1'!CH37-'1'!CG37</f>
        <v>55514.637999999977</v>
      </c>
      <c r="DY31" s="115">
        <f>'1'!CI37-'1'!CH37</f>
        <v>43418.876999999979</v>
      </c>
      <c r="DZ31" s="115">
        <f>'1'!CJ37-'1'!CI37</f>
        <v>40745.402999999991</v>
      </c>
      <c r="EA31" s="115">
        <f>'1'!CK37-'1'!CJ37</f>
        <v>61279.166000000027</v>
      </c>
      <c r="EB31" s="115">
        <f>'1'!CL37-'1'!CK37</f>
        <v>57294.374000000011</v>
      </c>
      <c r="EC31" s="115">
        <f>'1'!CM37-'1'!CL37</f>
        <v>79098.273999999976</v>
      </c>
      <c r="ED31" s="115">
        <f>'1'!CO37</f>
        <v>32237.403999999999</v>
      </c>
      <c r="EE31" s="115">
        <f>'1'!CP37-'1'!CO37</f>
        <v>47929.234000000011</v>
      </c>
      <c r="EF31" s="115">
        <f>'1'!CQ37-'1'!CP37</f>
        <v>52829.483999999997</v>
      </c>
      <c r="EG31" s="115">
        <f>'1'!CR37-'1'!CQ37</f>
        <v>60216.622999999992</v>
      </c>
      <c r="EH31" s="115">
        <f>'1'!CS37-'1'!CR37</f>
        <v>47584.406000000017</v>
      </c>
      <c r="EI31" s="115">
        <f>'1'!CT37-'1'!CS37</f>
        <v>56865.924999999988</v>
      </c>
      <c r="EJ31" s="115">
        <f>'1'!CU37-'1'!CT37</f>
        <v>59339.001999999979</v>
      </c>
      <c r="EK31" s="115">
        <f>'1'!CV37-'1'!CU37</f>
        <v>52329.686000000045</v>
      </c>
      <c r="EL31" s="115">
        <f>'1'!CW37-'1'!CV37</f>
        <v>53107.195999999996</v>
      </c>
      <c r="EM31" s="115">
        <f>'1'!CX37-'1'!CW37</f>
        <v>62867.862999999954</v>
      </c>
      <c r="EN31" s="115">
        <f>'1'!CY37-'1'!CX37</f>
        <v>59089.516999999993</v>
      </c>
      <c r="EO31" s="115">
        <f>'1'!CZ37-'1'!CY37</f>
        <v>96687.140000000014</v>
      </c>
      <c r="EP31" s="115">
        <f>'1'!DB37</f>
        <v>34219.792000000001</v>
      </c>
      <c r="EQ31" s="115">
        <f>'1'!DC37-'1'!DB37</f>
        <v>59087.788</v>
      </c>
      <c r="ER31" s="115">
        <f>'1'!DD37-'1'!DC37</f>
        <v>62333.332000000009</v>
      </c>
      <c r="ES31" s="115">
        <f>'1'!DE37-'1'!DD37</f>
        <v>71545.095000000001</v>
      </c>
      <c r="ET31" s="115">
        <f>'1'!DF37-'1'!DE37</f>
        <v>70640.108999999968</v>
      </c>
      <c r="EU31" s="115">
        <f>'1'!DG37-'1'!DF37</f>
        <v>70310.394000000029</v>
      </c>
      <c r="EV31" s="115">
        <f>'1'!DH37-'1'!DG37</f>
        <v>75100.309000000008</v>
      </c>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row>
    <row r="32" spans="1:185" s="49" customFormat="1" ht="15" customHeight="1">
      <c r="A32" s="24" t="s">
        <v>19</v>
      </c>
      <c r="B32" s="25">
        <f t="shared" ref="B32:M32" si="22">B33-B34</f>
        <v>27277.012999999977</v>
      </c>
      <c r="C32" s="25">
        <f t="shared" si="22"/>
        <v>14294.19299999997</v>
      </c>
      <c r="D32" s="25">
        <f t="shared" si="22"/>
        <v>36653.995999999985</v>
      </c>
      <c r="E32" s="25">
        <f t="shared" si="22"/>
        <v>-6041.8149999999732</v>
      </c>
      <c r="F32" s="25">
        <f t="shared" si="22"/>
        <v>4263.8099999999686</v>
      </c>
      <c r="G32" s="25">
        <f t="shared" si="22"/>
        <v>-20179.253000000026</v>
      </c>
      <c r="H32" s="25">
        <f t="shared" si="22"/>
        <v>-27187.801000000007</v>
      </c>
      <c r="I32" s="25">
        <f t="shared" si="22"/>
        <v>-2074.2349999999569</v>
      </c>
      <c r="J32" s="25">
        <f t="shared" si="22"/>
        <v>-11294.960999999981</v>
      </c>
      <c r="K32" s="25">
        <f t="shared" si="22"/>
        <v>-11093.287999999971</v>
      </c>
      <c r="L32" s="25">
        <f t="shared" si="22"/>
        <v>-14811.905999999988</v>
      </c>
      <c r="M32" s="25">
        <f t="shared" si="22"/>
        <v>-75763.269999999931</v>
      </c>
      <c r="N32" s="25">
        <f t="shared" ref="N32:W32" si="23">N33-N34</f>
        <v>18632.714000000007</v>
      </c>
      <c r="O32" s="25">
        <f t="shared" si="23"/>
        <v>17616.937000000034</v>
      </c>
      <c r="P32" s="25">
        <f t="shared" si="23"/>
        <v>29332.084999999992</v>
      </c>
      <c r="Q32" s="25">
        <f t="shared" si="23"/>
        <v>-6964.6560000000172</v>
      </c>
      <c r="R32" s="25">
        <f t="shared" si="23"/>
        <v>15270.517999999953</v>
      </c>
      <c r="S32" s="25">
        <f t="shared" si="23"/>
        <v>-18409.463000000018</v>
      </c>
      <c r="T32" s="25">
        <f t="shared" si="23"/>
        <v>-22974.180000000022</v>
      </c>
      <c r="U32" s="25">
        <f t="shared" si="23"/>
        <v>4525.0070000000123</v>
      </c>
      <c r="V32" s="25">
        <f t="shared" si="23"/>
        <v>-1528.0619999999763</v>
      </c>
      <c r="W32" s="25">
        <f t="shared" si="23"/>
        <v>-13629.56600000005</v>
      </c>
      <c r="X32" s="25">
        <v>7424.1380000000063</v>
      </c>
      <c r="Y32" s="25">
        <v>-54465.611999999994</v>
      </c>
      <c r="Z32" s="15">
        <f>Z33-Z34</f>
        <v>44814.034999999974</v>
      </c>
      <c r="AA32" s="15">
        <v>21757.243999999948</v>
      </c>
      <c r="AB32" s="15">
        <v>44133.998999999989</v>
      </c>
      <c r="AC32" s="15">
        <v>14877.443999999989</v>
      </c>
      <c r="AD32" s="15">
        <v>11381.281000000017</v>
      </c>
      <c r="AE32" s="15">
        <v>-9200.9770000000226</v>
      </c>
      <c r="AF32" s="15">
        <v>-19194.545000000013</v>
      </c>
      <c r="AG32" s="15">
        <v>15651.279999999986</v>
      </c>
      <c r="AH32" s="4">
        <v>-17429.843000000004</v>
      </c>
      <c r="AI32" s="4">
        <v>-960.53399999996714</v>
      </c>
      <c r="AJ32" s="4">
        <v>15209.472000000005</v>
      </c>
      <c r="AK32" s="4">
        <v>-64164.730000000018</v>
      </c>
      <c r="AL32" s="4">
        <v>41562.529999999984</v>
      </c>
      <c r="AM32" s="4">
        <v>11904.800000000023</v>
      </c>
      <c r="AN32" s="4">
        <v>41644.222000000016</v>
      </c>
      <c r="AO32" s="4">
        <v>7940.9849999999551</v>
      </c>
      <c r="AP32" s="4">
        <v>17744.987999999899</v>
      </c>
      <c r="AQ32" s="4">
        <v>-19909.877999999993</v>
      </c>
      <c r="AR32" s="4">
        <v>-7004.8849999999447</v>
      </c>
      <c r="AS32" s="4">
        <v>3024.6589999999856</v>
      </c>
      <c r="AT32" s="4">
        <v>-22244.189000000006</v>
      </c>
      <c r="AU32" s="4">
        <v>10130.84900000004</v>
      </c>
      <c r="AV32" s="4">
        <v>-14539.663000000048</v>
      </c>
      <c r="AW32" s="4">
        <v>-84614.801000000007</v>
      </c>
      <c r="AX32" s="4">
        <v>48227.762999999999</v>
      </c>
      <c r="AY32" s="4">
        <v>20062.61500000002</v>
      </c>
      <c r="AZ32" s="4">
        <v>6161.5179999999818</v>
      </c>
      <c r="BA32" s="4">
        <v>5398.9769999999844</v>
      </c>
      <c r="BB32" s="4">
        <v>3290.998</v>
      </c>
      <c r="BC32" s="4">
        <v>-25365.821999999986</v>
      </c>
      <c r="BD32" s="4">
        <v>-14510.247999999992</v>
      </c>
      <c r="BE32" s="4">
        <v>-3746.3960000000079</v>
      </c>
      <c r="BF32" s="4">
        <v>-20211.465000000026</v>
      </c>
      <c r="BG32" s="4">
        <v>-7020.448000000004</v>
      </c>
      <c r="BH32" s="4">
        <v>-27248.889999999985</v>
      </c>
      <c r="BI32" s="4">
        <v>-135585.38299999997</v>
      </c>
      <c r="BJ32" s="4">
        <f>BJ33-BJ34</f>
        <v>69899.918000000005</v>
      </c>
      <c r="BK32" s="4">
        <f>BK33-BK34</f>
        <v>49749.515000000014</v>
      </c>
      <c r="BL32" s="4">
        <f>BL33-BL34</f>
        <v>22502.150000000081</v>
      </c>
      <c r="BM32" s="4">
        <f>BM33-BM34</f>
        <v>66.196999999927357</v>
      </c>
      <c r="BN32" s="4">
        <f>'1'!S38-'1'!R38</f>
        <v>1895.3390000000363</v>
      </c>
      <c r="BO32" s="4">
        <f>'1'!T38-'1'!S38</f>
        <v>-27941.119000000064</v>
      </c>
      <c r="BP32" s="4">
        <f>'1'!U38-'1'!T38</f>
        <v>-20095.435999999987</v>
      </c>
      <c r="BQ32" s="4">
        <f>'1'!V38-'1'!U38</f>
        <v>3008.5080000001471</v>
      </c>
      <c r="BR32" s="4">
        <f>'1'!W38-'1'!V38</f>
        <v>14466.92799999984</v>
      </c>
      <c r="BS32" s="4">
        <f>'1'!X38-'1'!W38</f>
        <v>-6100.4390000002459</v>
      </c>
      <c r="BT32" s="4">
        <f>'1'!Y38-'1'!X38</f>
        <v>11851.236000000034</v>
      </c>
      <c r="BU32" s="4">
        <f>'1'!Z38-'1'!Y38</f>
        <v>-69132.155999999959</v>
      </c>
      <c r="BV32" s="4">
        <v>108823.12500000003</v>
      </c>
      <c r="BW32" s="4">
        <f>'1'!AC38-'1'!AB38</f>
        <v>43336.073999999993</v>
      </c>
      <c r="BX32" s="4">
        <f>'1'!AD38-'1'!AC38</f>
        <v>-8510.1990000000224</v>
      </c>
      <c r="BY32" s="4">
        <f>'1'!AE38-'1'!AD38</f>
        <v>-18528</v>
      </c>
      <c r="BZ32" s="4">
        <f>'1'!AF38-'1'!AE38</f>
        <v>267.18999999994412</v>
      </c>
      <c r="CA32" s="4">
        <f>'1'!AG38-'1'!AF38</f>
        <v>-24020.189999999944</v>
      </c>
      <c r="CB32" s="4">
        <f>'1'!AH38-'1'!AG38</f>
        <v>-6388.533000000054</v>
      </c>
      <c r="CC32" s="4">
        <f>'1'!AI38-'1'!AH38</f>
        <v>14711.699000000022</v>
      </c>
      <c r="CD32" s="4">
        <f>'1'!AJ38-'1'!AI38</f>
        <v>1399.6599999999162</v>
      </c>
      <c r="CE32" s="4">
        <f>'1'!AK38-'1'!AJ38</f>
        <v>-22549.865999999922</v>
      </c>
      <c r="CF32" s="4">
        <f>'1'!AL38-'1'!AK38</f>
        <v>-9553.5189999998547</v>
      </c>
      <c r="CG32" s="4">
        <f>'1'!AM38-'1'!AL38</f>
        <v>-118383.81199999992</v>
      </c>
      <c r="CH32" s="4">
        <v>51841.777000000002</v>
      </c>
      <c r="CI32" s="4">
        <f>'1'!AP38-'1'!AO38</f>
        <v>55170.116999999969</v>
      </c>
      <c r="CJ32" s="4">
        <f>'1'!AQ38-'1'!AP38</f>
        <v>29854.420999999973</v>
      </c>
      <c r="CK32" s="4">
        <f>'1'!AR38-'1'!AQ38</f>
        <v>-65110.730999999912</v>
      </c>
      <c r="CL32" s="4">
        <f>'1'!AS38-'1'!AR38</f>
        <v>25695.561999999918</v>
      </c>
      <c r="CM32" s="4">
        <f>'1'!AT38-'1'!AS38</f>
        <v>-53546.318999999901</v>
      </c>
      <c r="CN32" s="4">
        <f>'1'!AU38-'1'!AT38</f>
        <v>-14251.375000000233</v>
      </c>
      <c r="CO32" s="4">
        <f>'1'!AV38-'1'!AU38</f>
        <v>3925.5480000001844</v>
      </c>
      <c r="CP32" s="4">
        <f>'1'!AW38-'1'!AV38</f>
        <v>-12077.429000000004</v>
      </c>
      <c r="CQ32" s="4">
        <f>'1'!AX38-'1'!AW38</f>
        <v>47662.11400000006</v>
      </c>
      <c r="CR32" s="4">
        <f>'1'!AY38-'1'!AX38</f>
        <v>-25816.685000000056</v>
      </c>
      <c r="CS32" s="4">
        <f>'1'!AZ38-'1'!AY38</f>
        <v>-134394.78800000018</v>
      </c>
      <c r="CT32" s="4">
        <v>16703.922999999981</v>
      </c>
      <c r="CU32" s="4">
        <f>'1'!BC38-'1'!BB38</f>
        <v>147501.74799999999</v>
      </c>
      <c r="CV32" s="4">
        <f>'1'!BD38-'1'!BC38</f>
        <v>-18692.108000000007</v>
      </c>
      <c r="CW32" s="4">
        <f>'1'!BE38-'1'!BD38</f>
        <v>19123.020000000019</v>
      </c>
      <c r="CX32" s="4">
        <f>'1'!BF38-'1'!BE38</f>
        <v>-11153.488999999943</v>
      </c>
      <c r="CY32" s="4">
        <f>'1'!BG38-'1'!BF38</f>
        <v>-682.62800000002608</v>
      </c>
      <c r="CZ32" s="4">
        <f>'1'!BH38-'1'!BG38</f>
        <v>26988.290000000037</v>
      </c>
      <c r="DA32" s="4">
        <f>'1'!BI38-'1'!BH38</f>
        <v>33769.918000000063</v>
      </c>
      <c r="DB32" s="4">
        <f>'1'!BJ38-'1'!BI38</f>
        <v>23100.993999999948</v>
      </c>
      <c r="DC32" s="4">
        <f>'1'!BK38-'1'!BJ38</f>
        <v>29746.086999999825</v>
      </c>
      <c r="DD32" s="4">
        <f>'1'!BL38-'1'!BK38</f>
        <v>-30579.651999999769</v>
      </c>
      <c r="DE32" s="4">
        <f>'1'!BM38-'1'!BL38</f>
        <v>-172941.94400000013</v>
      </c>
      <c r="DF32" s="4">
        <v>84479.097999999998</v>
      </c>
      <c r="DG32" s="54">
        <f>'1'!BP38-'1'!BO38</f>
        <v>34983.793999999994</v>
      </c>
      <c r="DH32" s="54">
        <f>'1'!BQ38-'1'!BP38</f>
        <v>-56013.76800000004</v>
      </c>
      <c r="DI32" s="54">
        <f>'1'!BR38-'1'!BQ38</f>
        <v>-19285.064000000013</v>
      </c>
      <c r="DJ32" s="54">
        <f>'1'!BS38-'1'!BR38</f>
        <v>20083.005999999936</v>
      </c>
      <c r="DK32" s="54">
        <f>'1'!BT38-'1'!BS38</f>
        <v>7354.8280000002123</v>
      </c>
      <c r="DL32" s="54">
        <f>'1'!BU38-'1'!BT38</f>
        <v>15950.075999999885</v>
      </c>
      <c r="DM32" s="54">
        <f>'1'!BV38-'1'!BU38</f>
        <v>-13326.08200000017</v>
      </c>
      <c r="DN32" s="54">
        <f>'1'!BW38-'1'!BV38</f>
        <v>-8815.5609999997541</v>
      </c>
      <c r="DO32" s="54">
        <f>'1'!BX38-'1'!BW38</f>
        <v>166.1019999999553</v>
      </c>
      <c r="DP32" s="54">
        <f>'1'!BY38-'1'!BX38</f>
        <v>-23436.839000000153</v>
      </c>
      <c r="DQ32" s="54">
        <f>'1'!BZ38-'1'!BY38</f>
        <v>-198139.70599999977</v>
      </c>
      <c r="DR32" s="54">
        <v>86956.73000000004</v>
      </c>
      <c r="DS32" s="54">
        <f>'1'!CC38-'1'!CB38</f>
        <v>41221.026999999944</v>
      </c>
      <c r="DT32" s="54">
        <f>'1'!CD38-'1'!CC38</f>
        <v>-60330.82799999998</v>
      </c>
      <c r="DU32" s="54">
        <f>'1'!CE38-'1'!CD38</f>
        <v>11332.865999999922</v>
      </c>
      <c r="DV32" s="54">
        <f>'1'!CF38-'1'!CE38</f>
        <v>-1951.7269999999553</v>
      </c>
      <c r="DW32" s="54">
        <f>'1'!CG38-'1'!CF38</f>
        <v>18422.205000000075</v>
      </c>
      <c r="DX32" s="54">
        <f>'1'!CH38-'1'!CG38</f>
        <v>-37392.375</v>
      </c>
      <c r="DY32" s="54">
        <f>'1'!CI38-'1'!CH38</f>
        <v>26632.814000000246</v>
      </c>
      <c r="DZ32" s="54">
        <f>'1'!CJ38-'1'!CI38</f>
        <v>24721.165999999736</v>
      </c>
      <c r="EA32" s="54">
        <f>'1'!CK38-'1'!CJ38</f>
        <v>6271.308999999892</v>
      </c>
      <c r="EB32" s="54">
        <f>'1'!CL38-'1'!CK38</f>
        <v>-14770.123999999836</v>
      </c>
      <c r="EC32" s="54">
        <f>'1'!CM38-'1'!CL38</f>
        <v>-149399.72800000012</v>
      </c>
      <c r="ED32" s="54">
        <f>'1'!CO38</f>
        <v>69077.213999999978</v>
      </c>
      <c r="EE32" s="54">
        <f>'1'!CP38-'1'!CO38</f>
        <v>35616.016999999934</v>
      </c>
      <c r="EF32" s="54">
        <f>'1'!CQ38-'1'!CP38</f>
        <v>29556.671000000089</v>
      </c>
      <c r="EG32" s="54">
        <f>'1'!CR38-'1'!CQ38</f>
        <v>-15672.304000000004</v>
      </c>
      <c r="EH32" s="54">
        <f>'1'!CS38-'1'!CR38</f>
        <v>2189.7140000001527</v>
      </c>
      <c r="EI32" s="54">
        <f>'1'!CT38-'1'!CS38</f>
        <v>10660.957999999868</v>
      </c>
      <c r="EJ32" s="54">
        <f>'1'!CU38-'1'!CT38</f>
        <v>-69795.131000000052</v>
      </c>
      <c r="EK32" s="54">
        <f>'1'!CV38-'1'!CU38</f>
        <v>4456.8769999998622</v>
      </c>
      <c r="EL32" s="54">
        <f>'1'!CW38-'1'!CV38</f>
        <v>37357.297999999952</v>
      </c>
      <c r="EM32" s="54">
        <f>'1'!CX38-'1'!CW38</f>
        <v>-18176.908999999985</v>
      </c>
      <c r="EN32" s="54">
        <f>'1'!CY38-'1'!CX38</f>
        <v>-955.1140000000596</v>
      </c>
      <c r="EO32" s="54">
        <f>'1'!CZ38-'1'!CY38</f>
        <v>-131526.04899999965</v>
      </c>
      <c r="EP32" s="54">
        <f>'1'!DB38</f>
        <v>51011.107999999949</v>
      </c>
      <c r="EQ32" s="54">
        <f>'1'!DC38-'1'!DB38</f>
        <v>46646.892000000051</v>
      </c>
      <c r="ER32" s="54">
        <f>'1'!DD38-'1'!DC38</f>
        <v>16033.675000000047</v>
      </c>
      <c r="ES32" s="54">
        <f>'1'!DE38-'1'!DD38</f>
        <v>-2353.6470000001136</v>
      </c>
      <c r="ET32" s="54">
        <f>'1'!DF38-'1'!DE38</f>
        <v>10588.824999999953</v>
      </c>
      <c r="EU32" s="54">
        <f>'1'!DG38-'1'!DF38</f>
        <v>-10759.319000000134</v>
      </c>
      <c r="EV32" s="54">
        <f>'1'!DH38-'1'!DG38</f>
        <v>-68169.450999999652</v>
      </c>
      <c r="EY32" s="66"/>
      <c r="EZ32" s="66"/>
      <c r="FA32" s="66"/>
      <c r="FB32" s="66"/>
      <c r="FC32" s="66"/>
      <c r="FD32" s="66"/>
      <c r="FE32" s="66"/>
      <c r="FF32" s="66"/>
      <c r="FG32" s="66"/>
      <c r="FH32" s="66"/>
      <c r="FI32" s="66"/>
      <c r="FJ32" s="66"/>
      <c r="FK32" s="66"/>
      <c r="FL32" s="66"/>
      <c r="FM32" s="66"/>
      <c r="FN32" s="66"/>
      <c r="FO32" s="66"/>
      <c r="FP32" s="66"/>
      <c r="FQ32" s="66"/>
      <c r="FR32" s="66"/>
      <c r="FS32" s="66"/>
      <c r="FT32" s="66"/>
      <c r="FU32" s="66"/>
      <c r="FV32" s="66"/>
      <c r="FW32" s="66"/>
      <c r="FX32" s="66"/>
      <c r="FY32" s="66"/>
      <c r="FZ32" s="66"/>
      <c r="GA32" s="66"/>
      <c r="GB32" s="66"/>
      <c r="GC32" s="66"/>
    </row>
    <row r="33" spans="1:185" s="46" customFormat="1" ht="15" customHeight="1">
      <c r="A33" s="58" t="s">
        <v>2</v>
      </c>
      <c r="B33" s="59">
        <v>149200.84099999999</v>
      </c>
      <c r="C33" s="59">
        <v>172324.78</v>
      </c>
      <c r="D33" s="59">
        <v>192868.62499999997</v>
      </c>
      <c r="E33" s="59">
        <v>174407.364</v>
      </c>
      <c r="F33" s="59">
        <v>175776.74099999998</v>
      </c>
      <c r="G33" s="59">
        <v>201754.64599999998</v>
      </c>
      <c r="H33" s="59">
        <v>164187.01200000002</v>
      </c>
      <c r="I33" s="59">
        <v>153881.87000000002</v>
      </c>
      <c r="J33" s="59">
        <v>157591.64400000003</v>
      </c>
      <c r="K33" s="59">
        <v>186031.46500000003</v>
      </c>
      <c r="L33" s="59">
        <v>180997.61899999998</v>
      </c>
      <c r="M33" s="59">
        <v>200739.48400000003</v>
      </c>
      <c r="N33" s="59">
        <v>153440.666</v>
      </c>
      <c r="O33" s="59">
        <v>180875.74000000002</v>
      </c>
      <c r="P33" s="59">
        <v>199126.446</v>
      </c>
      <c r="Q33" s="59">
        <v>173442.99099999998</v>
      </c>
      <c r="R33" s="59">
        <v>193301.73399999997</v>
      </c>
      <c r="S33" s="59">
        <v>209292.26499999998</v>
      </c>
      <c r="T33" s="59">
        <v>164193.21099999998</v>
      </c>
      <c r="U33" s="59">
        <v>156041.61199999999</v>
      </c>
      <c r="V33" s="59">
        <v>156305.033</v>
      </c>
      <c r="W33" s="59">
        <v>162257.25799999997</v>
      </c>
      <c r="X33" s="59">
        <v>186924.337</v>
      </c>
      <c r="Y33" s="59">
        <v>200152.74599999998</v>
      </c>
      <c r="Z33" s="60">
        <v>164221.02199999997</v>
      </c>
      <c r="AA33" s="60">
        <v>182660.74299999996</v>
      </c>
      <c r="AB33" s="60">
        <v>207609.04799999998</v>
      </c>
      <c r="AC33" s="60">
        <v>182165.77399999998</v>
      </c>
      <c r="AD33" s="60">
        <v>184233.10700000002</v>
      </c>
      <c r="AE33" s="60">
        <v>210951.79699999999</v>
      </c>
      <c r="AF33" s="60">
        <v>161436.67299999998</v>
      </c>
      <c r="AG33" s="60">
        <v>162100.21299999996</v>
      </c>
      <c r="AH33" s="48">
        <v>142583.75599999999</v>
      </c>
      <c r="AI33" s="48">
        <v>196110.97</v>
      </c>
      <c r="AJ33" s="48">
        <v>205423.255</v>
      </c>
      <c r="AK33" s="48">
        <v>205475.14199999999</v>
      </c>
      <c r="AL33" s="48">
        <v>174144.81</v>
      </c>
      <c r="AM33" s="48">
        <v>192705.03599999999</v>
      </c>
      <c r="AN33" s="48">
        <v>221401.34300000002</v>
      </c>
      <c r="AO33" s="48">
        <v>193931.19699999999</v>
      </c>
      <c r="AP33" s="48">
        <v>218368.14600000001</v>
      </c>
      <c r="AQ33" s="48">
        <v>243515.54600000003</v>
      </c>
      <c r="AR33" s="48">
        <v>184735.88700000005</v>
      </c>
      <c r="AS33" s="48">
        <v>185859.28599999999</v>
      </c>
      <c r="AT33" s="48">
        <v>169054.01199999999</v>
      </c>
      <c r="AU33" s="48">
        <v>225715.15700000004</v>
      </c>
      <c r="AV33" s="48">
        <v>220848.81599999996</v>
      </c>
      <c r="AW33" s="48">
        <v>232362.83900000001</v>
      </c>
      <c r="AX33" s="48">
        <v>198459.84899999999</v>
      </c>
      <c r="AY33" s="48">
        <v>212947.74100000001</v>
      </c>
      <c r="AZ33" s="48">
        <v>207729.851</v>
      </c>
      <c r="BA33" s="48">
        <v>202865.886</v>
      </c>
      <c r="BB33" s="48">
        <v>216539.37299999999</v>
      </c>
      <c r="BC33" s="48">
        <v>258099.049</v>
      </c>
      <c r="BD33" s="48">
        <v>218509.122</v>
      </c>
      <c r="BE33" s="48">
        <v>206410.981</v>
      </c>
      <c r="BF33" s="48">
        <v>192102.37899999999</v>
      </c>
      <c r="BG33" s="48">
        <v>241227.99299999999</v>
      </c>
      <c r="BH33" s="48">
        <v>241587.677</v>
      </c>
      <c r="BI33" s="48">
        <v>249623.74299999978</v>
      </c>
      <c r="BJ33" s="48">
        <v>234552.318</v>
      </c>
      <c r="BK33" s="48">
        <v>246822.41400000002</v>
      </c>
      <c r="BL33" s="48">
        <v>238170.31800000006</v>
      </c>
      <c r="BM33" s="48">
        <v>215841.71899999992</v>
      </c>
      <c r="BN33" s="7">
        <f>'1'!S39-'1'!R39</f>
        <v>248360.5610000001</v>
      </c>
      <c r="BO33" s="7">
        <f>'1'!T39-'1'!S39</f>
        <v>268532.66999999993</v>
      </c>
      <c r="BP33" s="7">
        <f>'1'!U39-'1'!T39</f>
        <v>227382.63299999991</v>
      </c>
      <c r="BQ33" s="7">
        <f>'1'!V39-'1'!U39</f>
        <v>217917.80200000014</v>
      </c>
      <c r="BR33" s="7">
        <f>'1'!W39-'1'!V39</f>
        <v>236011.56499999994</v>
      </c>
      <c r="BS33" s="7">
        <f>'1'!X39-'1'!W39</f>
        <v>247128.2209999999</v>
      </c>
      <c r="BT33" s="7">
        <f>'1'!Y39-'1'!X39</f>
        <v>255089.77600000007</v>
      </c>
      <c r="BU33" s="7">
        <f>'1'!Z39-'1'!Y39</f>
        <v>285439.27799999993</v>
      </c>
      <c r="BV33" s="7">
        <v>290064.14500000002</v>
      </c>
      <c r="BW33" s="7">
        <f>'1'!AC39-'1'!AB39</f>
        <v>251741.549</v>
      </c>
      <c r="BX33" s="7">
        <f>'1'!AD39-'1'!AC39</f>
        <v>214628.30599999998</v>
      </c>
      <c r="BY33" s="7">
        <f>'1'!AE39-'1'!AD39</f>
        <v>205049</v>
      </c>
      <c r="BZ33" s="7">
        <f>'1'!AF39-'1'!AE39</f>
        <v>203771.41999999993</v>
      </c>
      <c r="CA33" s="7">
        <f>'1'!AG39-'1'!AF39</f>
        <v>247277.58000000007</v>
      </c>
      <c r="CB33" s="7">
        <f>'1'!AH39-'1'!AG39</f>
        <v>228229.35400000005</v>
      </c>
      <c r="CC33" s="7">
        <f>'1'!AI39-'1'!AH39</f>
        <v>215329.06400000001</v>
      </c>
      <c r="CD33" s="7">
        <f>'1'!AJ39-'1'!AI39</f>
        <v>222973.77199999988</v>
      </c>
      <c r="CE33" s="7">
        <f>'1'!AK39-'1'!AJ39</f>
        <v>232443.75499999989</v>
      </c>
      <c r="CF33" s="7">
        <f>'1'!AL39-'1'!AK39</f>
        <v>247188.40700000012</v>
      </c>
      <c r="CG33" s="7">
        <f>'1'!AM39-'1'!AL39</f>
        <v>259624.1660000002</v>
      </c>
      <c r="CH33" s="7">
        <v>204517.329</v>
      </c>
      <c r="CI33" s="7">
        <f>'1'!AP39-'1'!AO39</f>
        <v>269110.56499999994</v>
      </c>
      <c r="CJ33" s="7">
        <f>'1'!AQ39-'1'!AP39</f>
        <v>255479.29700000002</v>
      </c>
      <c r="CK33" s="7">
        <f>'1'!AR39-'1'!AQ39</f>
        <v>166036.19400000002</v>
      </c>
      <c r="CL33" s="7">
        <f>'1'!AS39-'1'!AR39</f>
        <v>253889.01</v>
      </c>
      <c r="CM33" s="7">
        <f>'1'!AT39-'1'!AS39</f>
        <v>283015.61700000009</v>
      </c>
      <c r="CN33" s="7">
        <f>'1'!AU39-'1'!AT39</f>
        <v>209024.04999999981</v>
      </c>
      <c r="CO33" s="7">
        <f>'1'!AV39-'1'!AU39</f>
        <v>201829.93800000008</v>
      </c>
      <c r="CP33" s="7">
        <f>'1'!AW39-'1'!AV39</f>
        <v>209634.73300000001</v>
      </c>
      <c r="CQ33" s="7">
        <f>'1'!AX39-'1'!AW39</f>
        <v>299380.78500000015</v>
      </c>
      <c r="CR33" s="7">
        <f>'1'!AY39-'1'!AX39</f>
        <v>244254.48199999984</v>
      </c>
      <c r="CS33" s="7">
        <f>'1'!AZ39-'1'!AY39</f>
        <v>279855.96299999999</v>
      </c>
      <c r="CT33" s="7">
        <v>190252.34599999999</v>
      </c>
      <c r="CU33" s="7">
        <f>'1'!BC39-'1'!BB39</f>
        <v>356152.10499999998</v>
      </c>
      <c r="CV33" s="7">
        <f>'1'!BD39-'1'!BC39</f>
        <v>207474.21299999999</v>
      </c>
      <c r="CW33" s="7">
        <f>'1'!BE39-'1'!BD39</f>
        <v>253268.68599999999</v>
      </c>
      <c r="CX33" s="7">
        <f>'1'!BF39-'1'!BE39</f>
        <v>242842.45400000003</v>
      </c>
      <c r="CY33" s="7">
        <f>'1'!BG39-'1'!BF39</f>
        <v>324518.3899999999</v>
      </c>
      <c r="CZ33" s="7">
        <f>'1'!BH39-'1'!BG39</f>
        <v>276611.72800000012</v>
      </c>
      <c r="DA33" s="7">
        <f>'1'!BI39-'1'!BH39</f>
        <v>255749.73200000008</v>
      </c>
      <c r="DB33" s="7">
        <f>'1'!BJ39-'1'!BI39</f>
        <v>270436.89500000002</v>
      </c>
      <c r="DC33" s="7">
        <f>'1'!BK39-'1'!BJ39</f>
        <v>321133.29499999993</v>
      </c>
      <c r="DD33" s="7">
        <f>'1'!BL39-'1'!BK39</f>
        <v>280117.66999999993</v>
      </c>
      <c r="DE33" s="7">
        <f>'1'!BM39-'1'!BL39</f>
        <v>273764.64800000004</v>
      </c>
      <c r="DF33" s="7">
        <v>306465.26699999999</v>
      </c>
      <c r="DG33" s="115">
        <f>'1'!BP39-'1'!BO39</f>
        <v>292294.04399999999</v>
      </c>
      <c r="DH33" s="115">
        <f>'1'!BQ39-'1'!BP39</f>
        <v>225671.94900000002</v>
      </c>
      <c r="DI33" s="115">
        <f>'1'!BR39-'1'!BQ39</f>
        <v>262816.14899999998</v>
      </c>
      <c r="DJ33" s="115">
        <f>'1'!BS39-'1'!BR39</f>
        <v>295042.68599999999</v>
      </c>
      <c r="DK33" s="115">
        <f>'1'!BT39-'1'!BS39</f>
        <v>376093.33000000007</v>
      </c>
      <c r="DL33" s="115">
        <f>'1'!BU39-'1'!BT39</f>
        <v>301143.92699999991</v>
      </c>
      <c r="DM33" s="115">
        <f>'1'!BV39-'1'!BU39</f>
        <v>264350.38299999991</v>
      </c>
      <c r="DN33" s="115">
        <f>'1'!BW39-'1'!BV39</f>
        <v>246209.85400000028</v>
      </c>
      <c r="DO33" s="115">
        <f>'1'!BX39-'1'!BW39</f>
        <v>315285.34100000001</v>
      </c>
      <c r="DP33" s="115">
        <f>'1'!BY39-'1'!BX39</f>
        <v>300948.20599999977</v>
      </c>
      <c r="DQ33" s="115">
        <f>'1'!BZ39-'1'!BY39</f>
        <v>294625.01500000013</v>
      </c>
      <c r="DR33" s="115">
        <v>330116.00300000003</v>
      </c>
      <c r="DS33" s="115">
        <f>'1'!CC39-'1'!CB39</f>
        <v>323221.28700000001</v>
      </c>
      <c r="DT33" s="115">
        <f>'1'!CD39-'1'!CC39</f>
        <v>219856.022</v>
      </c>
      <c r="DU33" s="115">
        <f>'1'!CE39-'1'!CD39</f>
        <v>320943.46199999994</v>
      </c>
      <c r="DV33" s="115">
        <f>'1'!CF39-'1'!CE39</f>
        <v>302319.49399999995</v>
      </c>
      <c r="DW33" s="115">
        <f>'1'!CG39-'1'!CF39</f>
        <v>389767.87000000011</v>
      </c>
      <c r="DX33" s="115">
        <f>'1'!CH39-'1'!CG39</f>
        <v>289656.17000000016</v>
      </c>
      <c r="DY33" s="115">
        <f>'1'!CI39-'1'!CH39</f>
        <v>296848.35499999998</v>
      </c>
      <c r="DZ33" s="115">
        <f>'1'!CJ39-'1'!CI39</f>
        <v>280160.77499999991</v>
      </c>
      <c r="EA33" s="115">
        <f>'1'!CK39-'1'!CJ39</f>
        <v>345163.73</v>
      </c>
      <c r="EB33" s="115">
        <f>'1'!CL39-'1'!CK39</f>
        <v>329799.11700000009</v>
      </c>
      <c r="EC33" s="115">
        <f>'1'!CM39-'1'!CL39</f>
        <v>323092.44799999986</v>
      </c>
      <c r="ED33" s="115">
        <f>'1'!CO39</f>
        <v>334083.38199999998</v>
      </c>
      <c r="EE33" s="115">
        <f>'1'!CP39-'1'!CO39</f>
        <v>321429.95799999998</v>
      </c>
      <c r="EF33" s="115">
        <f>'1'!CQ39-'1'!CP39</f>
        <v>330721.73600000003</v>
      </c>
      <c r="EG33" s="115">
        <f>'1'!CR39-'1'!CQ39</f>
        <v>337077.96400000004</v>
      </c>
      <c r="EH33" s="115">
        <f>'1'!CS39-'1'!CR39</f>
        <v>326788.99300000002</v>
      </c>
      <c r="EI33" s="115">
        <f>'1'!CT39-'1'!CS39</f>
        <v>409175.67099999986</v>
      </c>
      <c r="EJ33" s="115">
        <f>'1'!CU39-'1'!CT39</f>
        <v>294069.5410000002</v>
      </c>
      <c r="EK33" s="115">
        <f>'1'!CV39-'1'!CU39</f>
        <v>296799.60399999982</v>
      </c>
      <c r="EL33" s="115">
        <f>'1'!CW39-'1'!CV39</f>
        <v>348082.16399999987</v>
      </c>
      <c r="EM33" s="115">
        <f>'1'!CX39-'1'!CW39</f>
        <v>357995.53200000012</v>
      </c>
      <c r="EN33" s="115">
        <f>'1'!CY39-'1'!CX39</f>
        <v>345289.05599999987</v>
      </c>
      <c r="EO33" s="115">
        <f>'1'!CZ39-'1'!CY39</f>
        <v>359958.63500000024</v>
      </c>
      <c r="EP33" s="115">
        <f>'1'!DB39</f>
        <v>326812.48599999998</v>
      </c>
      <c r="EQ33" s="115">
        <f>'1'!DC39-'1'!DB39</f>
        <v>360121.51400000002</v>
      </c>
      <c r="ER33" s="115">
        <f>'1'!DD39-'1'!DC39</f>
        <v>347743.15300000005</v>
      </c>
      <c r="ES33" s="115">
        <f>'1'!DE39-'1'!DD39</f>
        <v>336301.75699999987</v>
      </c>
      <c r="ET33" s="115">
        <f>'1'!DF39-'1'!DE39</f>
        <v>336450.34400000004</v>
      </c>
      <c r="EU33" s="115">
        <f>'1'!DG39-'1'!DF39</f>
        <v>409781.15399999986</v>
      </c>
      <c r="EV33" s="115">
        <f>'1'!DH39-'1'!DG39</f>
        <v>310599.56000000006</v>
      </c>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row>
    <row r="34" spans="1:185" s="46" customFormat="1" ht="15" customHeight="1">
      <c r="A34" s="58" t="s">
        <v>7</v>
      </c>
      <c r="B34" s="59">
        <v>121923.82800000001</v>
      </c>
      <c r="C34" s="59">
        <v>158030.58700000003</v>
      </c>
      <c r="D34" s="59">
        <v>156214.62899999999</v>
      </c>
      <c r="E34" s="59">
        <v>180449.17899999997</v>
      </c>
      <c r="F34" s="59">
        <v>171512.93100000001</v>
      </c>
      <c r="G34" s="59">
        <v>221933.899</v>
      </c>
      <c r="H34" s="59">
        <v>191374.81300000002</v>
      </c>
      <c r="I34" s="59">
        <v>155956.10499999998</v>
      </c>
      <c r="J34" s="59">
        <v>168886.60500000001</v>
      </c>
      <c r="K34" s="59">
        <v>197124.753</v>
      </c>
      <c r="L34" s="59">
        <v>195809.52499999997</v>
      </c>
      <c r="M34" s="59">
        <v>276502.75399999996</v>
      </c>
      <c r="N34" s="59">
        <v>134807.95199999999</v>
      </c>
      <c r="O34" s="59">
        <v>163258.80299999999</v>
      </c>
      <c r="P34" s="59">
        <v>169794.361</v>
      </c>
      <c r="Q34" s="59">
        <v>180407.647</v>
      </c>
      <c r="R34" s="59">
        <v>178031.21600000001</v>
      </c>
      <c r="S34" s="59">
        <v>227701.728</v>
      </c>
      <c r="T34" s="59">
        <v>187167.391</v>
      </c>
      <c r="U34" s="59">
        <v>151516.60499999998</v>
      </c>
      <c r="V34" s="59">
        <v>157833.09499999997</v>
      </c>
      <c r="W34" s="59">
        <v>175886.82400000002</v>
      </c>
      <c r="X34" s="59">
        <v>179500.19899999999</v>
      </c>
      <c r="Y34" s="59">
        <v>254618.35799999998</v>
      </c>
      <c r="Z34" s="60">
        <v>119406.98699999999</v>
      </c>
      <c r="AA34" s="60">
        <v>160903.49900000001</v>
      </c>
      <c r="AB34" s="60">
        <v>163475.04899999997</v>
      </c>
      <c r="AC34" s="60">
        <v>167288.32999999999</v>
      </c>
      <c r="AD34" s="60">
        <v>172851.826</v>
      </c>
      <c r="AE34" s="60">
        <v>220152.77400000003</v>
      </c>
      <c r="AF34" s="60">
        <v>180631.21799999999</v>
      </c>
      <c r="AG34" s="60">
        <v>146448.93299999999</v>
      </c>
      <c r="AH34" s="48">
        <v>160013.59899999999</v>
      </c>
      <c r="AI34" s="48">
        <v>197071.50399999999</v>
      </c>
      <c r="AJ34" s="48">
        <v>190213.783</v>
      </c>
      <c r="AK34" s="48">
        <v>269639.87200000003</v>
      </c>
      <c r="AL34" s="48">
        <v>132582.28000000003</v>
      </c>
      <c r="AM34" s="48">
        <v>180800.23599999998</v>
      </c>
      <c r="AN34" s="48">
        <v>179757.12100000001</v>
      </c>
      <c r="AO34" s="48">
        <v>185990.21200000003</v>
      </c>
      <c r="AP34" s="48">
        <v>200623.158</v>
      </c>
      <c r="AQ34" s="48">
        <v>263425.424</v>
      </c>
      <c r="AR34" s="48">
        <v>191740.772</v>
      </c>
      <c r="AS34" s="48">
        <v>182834.62700000001</v>
      </c>
      <c r="AT34" s="48">
        <v>191298.201</v>
      </c>
      <c r="AU34" s="48">
        <v>215584.30799999999</v>
      </c>
      <c r="AV34" s="48">
        <v>235388.47900000002</v>
      </c>
      <c r="AW34" s="48">
        <v>316977.64</v>
      </c>
      <c r="AX34" s="48">
        <v>150232.08600000001</v>
      </c>
      <c r="AY34" s="48">
        <v>192885.12599999999</v>
      </c>
      <c r="AZ34" s="48">
        <v>201568.33300000001</v>
      </c>
      <c r="BA34" s="48">
        <v>197466.90900000001</v>
      </c>
      <c r="BB34" s="48">
        <v>213248.375</v>
      </c>
      <c r="BC34" s="48">
        <v>283464.87099999998</v>
      </c>
      <c r="BD34" s="48">
        <v>233019.37</v>
      </c>
      <c r="BE34" s="48">
        <v>210157.37700000001</v>
      </c>
      <c r="BF34" s="48">
        <v>212313.84400000001</v>
      </c>
      <c r="BG34" s="48">
        <v>248248.44099999999</v>
      </c>
      <c r="BH34" s="48">
        <v>268836.56699999998</v>
      </c>
      <c r="BI34" s="48">
        <v>385209.12600000016</v>
      </c>
      <c r="BJ34" s="48">
        <v>164652.4</v>
      </c>
      <c r="BK34" s="48">
        <v>197072.899</v>
      </c>
      <c r="BL34" s="48">
        <v>215668.16799999998</v>
      </c>
      <c r="BM34" s="48">
        <v>215775.522</v>
      </c>
      <c r="BN34" s="7">
        <f>'1'!S40-'1'!R40</f>
        <v>246465.22200000007</v>
      </c>
      <c r="BO34" s="7">
        <f>'1'!T40-'1'!S40</f>
        <v>296473.78899999999</v>
      </c>
      <c r="BP34" s="7">
        <f>'1'!U40-'1'!T40</f>
        <v>247478.0689999999</v>
      </c>
      <c r="BQ34" s="7">
        <f>'1'!V40-'1'!U40</f>
        <v>214909.29399999999</v>
      </c>
      <c r="BR34" s="7">
        <f>'1'!W40-'1'!V40</f>
        <v>221544.6370000001</v>
      </c>
      <c r="BS34" s="7">
        <f>'1'!X40-'1'!W40</f>
        <v>253228.66000000015</v>
      </c>
      <c r="BT34" s="7">
        <f>'1'!Y40-'1'!X40</f>
        <v>243238.54000000004</v>
      </c>
      <c r="BU34" s="7">
        <f>'1'!Z40-'1'!Y40</f>
        <v>354571.43399999989</v>
      </c>
      <c r="BV34" s="7">
        <v>181241.02</v>
      </c>
      <c r="BW34" s="7">
        <f>'1'!AC40-'1'!AB40</f>
        <v>208405.47500000001</v>
      </c>
      <c r="BX34" s="7">
        <f>'1'!AD40-'1'!AC40</f>
        <v>223138.505</v>
      </c>
      <c r="BY34" s="7">
        <f>'1'!AE40-'1'!AD40</f>
        <v>223577</v>
      </c>
      <c r="BZ34" s="7">
        <f>'1'!AF40-'1'!AE40</f>
        <v>203504.22999999998</v>
      </c>
      <c r="CA34" s="7">
        <f>'1'!AG40-'1'!AF40</f>
        <v>271297.77</v>
      </c>
      <c r="CB34" s="7">
        <f>'1'!AH40-'1'!AG40</f>
        <v>234617.8870000001</v>
      </c>
      <c r="CC34" s="7">
        <f>'1'!AI40-'1'!AH40</f>
        <v>200617.36499999999</v>
      </c>
      <c r="CD34" s="7">
        <f>'1'!AJ40-'1'!AI40</f>
        <v>221574.11199999996</v>
      </c>
      <c r="CE34" s="7">
        <f>'1'!AK40-'1'!AJ40</f>
        <v>254993.62099999981</v>
      </c>
      <c r="CF34" s="7">
        <f>'1'!AL40-'1'!AK40</f>
        <v>256741.92599999998</v>
      </c>
      <c r="CG34" s="7">
        <f>'1'!AM40-'1'!AL40</f>
        <v>378007.97800000012</v>
      </c>
      <c r="CH34" s="7">
        <v>152675.552</v>
      </c>
      <c r="CI34" s="7">
        <f>'1'!AP40-'1'!AO40</f>
        <v>213940.448</v>
      </c>
      <c r="CJ34" s="7">
        <f>'1'!AQ40-'1'!AP40</f>
        <v>225624.87600000005</v>
      </c>
      <c r="CK34" s="7">
        <f>'1'!AR40-'1'!AQ40</f>
        <v>231146.92499999993</v>
      </c>
      <c r="CL34" s="7">
        <f>'1'!AS40-'1'!AR40</f>
        <v>228193.44800000009</v>
      </c>
      <c r="CM34" s="7">
        <f>'1'!AT40-'1'!AS40</f>
        <v>336561.93599999999</v>
      </c>
      <c r="CN34" s="7">
        <f>'1'!AU40-'1'!AT40</f>
        <v>223275.42500000005</v>
      </c>
      <c r="CO34" s="7">
        <f>'1'!AV40-'1'!AU40</f>
        <v>197904.3899999999</v>
      </c>
      <c r="CP34" s="7">
        <f>'1'!AW40-'1'!AV40</f>
        <v>221712.16200000001</v>
      </c>
      <c r="CQ34" s="7">
        <f>'1'!AX40-'1'!AW40</f>
        <v>251718.67100000009</v>
      </c>
      <c r="CR34" s="7">
        <f>'1'!AY40-'1'!AX40</f>
        <v>270071.1669999999</v>
      </c>
      <c r="CS34" s="7">
        <f>'1'!AZ40-'1'!AY40</f>
        <v>414250.75100000016</v>
      </c>
      <c r="CT34" s="7">
        <v>173548.42300000001</v>
      </c>
      <c r="CU34" s="7">
        <f>'1'!BC40-'1'!BB40</f>
        <v>208650.35700000002</v>
      </c>
      <c r="CV34" s="7">
        <f>'1'!BD40-'1'!BC40</f>
        <v>226166.321</v>
      </c>
      <c r="CW34" s="7">
        <f>'1'!BE40-'1'!BD40</f>
        <v>234145.66599999997</v>
      </c>
      <c r="CX34" s="7">
        <f>'1'!BF40-'1'!BE40</f>
        <v>253995.94299999997</v>
      </c>
      <c r="CY34" s="7">
        <f>'1'!BG40-'1'!BF40</f>
        <v>325201.01799999992</v>
      </c>
      <c r="CZ34" s="7">
        <f>'1'!BH40-'1'!BG40</f>
        <v>249623.43800000008</v>
      </c>
      <c r="DA34" s="7">
        <f>'1'!BI40-'1'!BH40</f>
        <v>221979.81400000001</v>
      </c>
      <c r="DB34" s="7">
        <f>'1'!BJ40-'1'!BI40</f>
        <v>247335.90100000007</v>
      </c>
      <c r="DC34" s="7">
        <f>'1'!BK40-'1'!BJ40</f>
        <v>291387.2080000001</v>
      </c>
      <c r="DD34" s="7">
        <f>'1'!BL40-'1'!BK40</f>
        <v>310697.32199999969</v>
      </c>
      <c r="DE34" s="7">
        <f>'1'!BM40-'1'!BL40</f>
        <v>446706.59200000018</v>
      </c>
      <c r="DF34" s="7">
        <v>221986.16899999999</v>
      </c>
      <c r="DG34" s="115">
        <f>'1'!BP40-'1'!BO40</f>
        <v>257310.25</v>
      </c>
      <c r="DH34" s="115">
        <f>'1'!BQ40-'1'!BP40</f>
        <v>281685.71700000006</v>
      </c>
      <c r="DI34" s="115">
        <f>'1'!BR40-'1'!BQ40</f>
        <v>282101.21299999999</v>
      </c>
      <c r="DJ34" s="115">
        <f>'1'!BS40-'1'!BR40</f>
        <v>274959.68000000005</v>
      </c>
      <c r="DK34" s="115">
        <f>'1'!BT40-'1'!BS40</f>
        <v>368738.50199999986</v>
      </c>
      <c r="DL34" s="115">
        <f>'1'!BU40-'1'!BT40</f>
        <v>285193.85100000002</v>
      </c>
      <c r="DM34" s="115">
        <f>'1'!BV40-'1'!BU40</f>
        <v>277676.46500000008</v>
      </c>
      <c r="DN34" s="115">
        <f>'1'!BW40-'1'!BV40</f>
        <v>255025.41500000004</v>
      </c>
      <c r="DO34" s="115">
        <f>'1'!BX40-'1'!BW40</f>
        <v>315119.23900000006</v>
      </c>
      <c r="DP34" s="115">
        <f>'1'!BY40-'1'!BX40</f>
        <v>324385.04499999993</v>
      </c>
      <c r="DQ34" s="115">
        <f>'1'!BZ40-'1'!BY40</f>
        <v>492764.7209999999</v>
      </c>
      <c r="DR34" s="115">
        <v>243159.27299999999</v>
      </c>
      <c r="DS34" s="115">
        <f>'1'!CC40-'1'!CB40</f>
        <v>282000.26000000007</v>
      </c>
      <c r="DT34" s="115">
        <f>'1'!CD40-'1'!CC40</f>
        <v>280186.84999999998</v>
      </c>
      <c r="DU34" s="115">
        <f>'1'!CE40-'1'!CD40</f>
        <v>309610.59600000002</v>
      </c>
      <c r="DV34" s="115">
        <f>'1'!CF40-'1'!CE40</f>
        <v>304271.2209999999</v>
      </c>
      <c r="DW34" s="115">
        <f>'1'!CG40-'1'!CF40</f>
        <v>371345.66500000004</v>
      </c>
      <c r="DX34" s="115">
        <f>'1'!CH40-'1'!CG40</f>
        <v>327048.54500000016</v>
      </c>
      <c r="DY34" s="115">
        <f>'1'!CI40-'1'!CH40</f>
        <v>270215.54099999974</v>
      </c>
      <c r="DZ34" s="115">
        <f>'1'!CJ40-'1'!CI40</f>
        <v>255439.60900000017</v>
      </c>
      <c r="EA34" s="115">
        <f>'1'!CK40-'1'!CJ40</f>
        <v>338892.42100000009</v>
      </c>
      <c r="EB34" s="115">
        <f>'1'!CL40-'1'!CK40</f>
        <v>344569.24099999992</v>
      </c>
      <c r="EC34" s="115">
        <f>'1'!CM40-'1'!CL40</f>
        <v>472492.17599999998</v>
      </c>
      <c r="ED34" s="115">
        <f>'1'!CO40</f>
        <v>265006.16800000001</v>
      </c>
      <c r="EE34" s="115">
        <f>'1'!CP40-'1'!CO40</f>
        <v>285813.94100000005</v>
      </c>
      <c r="EF34" s="115">
        <f>'1'!CQ40-'1'!CP40</f>
        <v>301165.06499999994</v>
      </c>
      <c r="EG34" s="115">
        <f>'1'!CR40-'1'!CQ40</f>
        <v>352750.26800000004</v>
      </c>
      <c r="EH34" s="115">
        <f>'1'!CS40-'1'!CR40</f>
        <v>324599.27899999986</v>
      </c>
      <c r="EI34" s="115">
        <f>'1'!CT40-'1'!CS40</f>
        <v>398514.71299999999</v>
      </c>
      <c r="EJ34" s="115">
        <f>'1'!CU40-'1'!CT40</f>
        <v>363864.67200000025</v>
      </c>
      <c r="EK34" s="115">
        <f>'1'!CV40-'1'!CU40</f>
        <v>292342.72699999996</v>
      </c>
      <c r="EL34" s="115">
        <f>'1'!CW40-'1'!CV40</f>
        <v>310724.86599999992</v>
      </c>
      <c r="EM34" s="115">
        <f>'1'!CX40-'1'!CW40</f>
        <v>376172.44100000011</v>
      </c>
      <c r="EN34" s="115">
        <f>'1'!CY40-'1'!CX40</f>
        <v>346244.16999999993</v>
      </c>
      <c r="EO34" s="115">
        <f>'1'!CZ40-'1'!CY40</f>
        <v>491484.68399999989</v>
      </c>
      <c r="EP34" s="115">
        <f>'1'!DB40</f>
        <v>275801.37800000003</v>
      </c>
      <c r="EQ34" s="115">
        <f>'1'!DC40-'1'!DB40</f>
        <v>313474.62199999997</v>
      </c>
      <c r="ER34" s="115">
        <f>'1'!DD40-'1'!DC40</f>
        <v>331709.478</v>
      </c>
      <c r="ES34" s="115">
        <f>'1'!DE40-'1'!DD40</f>
        <v>338655.40399999998</v>
      </c>
      <c r="ET34" s="115">
        <f>'1'!DF40-'1'!DE40</f>
        <v>325861.51900000009</v>
      </c>
      <c r="EU34" s="115">
        <f>'1'!DG40-'1'!DF40</f>
        <v>420540.473</v>
      </c>
      <c r="EV34" s="115">
        <f>'1'!DH40-'1'!DG40</f>
        <v>378769.01099999971</v>
      </c>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row>
    <row r="35" spans="1:185" s="46" customFormat="1" ht="15" customHeight="1">
      <c r="A35" s="61" t="s">
        <v>20</v>
      </c>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6"/>
      <c r="DH35" s="216"/>
      <c r="DI35" s="216"/>
      <c r="DJ35" s="216"/>
      <c r="DK35" s="216"/>
      <c r="DL35" s="216"/>
      <c r="DM35" s="216"/>
      <c r="DN35" s="216"/>
      <c r="DO35" s="216"/>
      <c r="DP35" s="216"/>
      <c r="DQ35" s="216"/>
      <c r="DR35" s="216"/>
      <c r="DS35" s="216"/>
      <c r="DT35" s="216"/>
      <c r="DU35" s="216"/>
      <c r="DV35" s="216"/>
      <c r="DW35" s="216"/>
      <c r="DX35" s="216"/>
      <c r="DY35" s="216"/>
      <c r="DZ35" s="216"/>
      <c r="EA35" s="216"/>
      <c r="EB35" s="216"/>
      <c r="EC35" s="216"/>
      <c r="ED35" s="216"/>
      <c r="EE35" s="216"/>
      <c r="EF35" s="216"/>
      <c r="EG35" s="216"/>
      <c r="EH35" s="216"/>
      <c r="EI35" s="216"/>
      <c r="EJ35" s="216"/>
      <c r="EK35" s="216"/>
      <c r="EL35" s="216"/>
      <c r="EM35" s="216"/>
      <c r="EN35" s="216"/>
      <c r="EO35" s="216"/>
      <c r="EP35" s="216"/>
      <c r="EQ35" s="216"/>
      <c r="ER35" s="216"/>
      <c r="ES35" s="216"/>
      <c r="ET35" s="216"/>
      <c r="EU35" s="216"/>
      <c r="EV35" s="216"/>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row>
    <row r="36" spans="1:185" s="46" customFormat="1" ht="15" customHeight="1">
      <c r="A36" s="209" t="s">
        <v>197</v>
      </c>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6"/>
      <c r="DH36" s="216"/>
      <c r="DI36" s="216"/>
      <c r="DJ36" s="216"/>
      <c r="DK36" s="216"/>
      <c r="DL36" s="216"/>
      <c r="DM36" s="216"/>
      <c r="DN36" s="216"/>
      <c r="DO36" s="216"/>
      <c r="DP36" s="216"/>
      <c r="DQ36" s="216"/>
      <c r="DR36" s="216"/>
      <c r="DS36" s="216"/>
      <c r="DT36" s="216"/>
      <c r="DU36" s="216"/>
      <c r="DV36" s="216"/>
      <c r="DW36" s="216"/>
      <c r="DX36" s="216"/>
      <c r="DY36" s="216"/>
      <c r="DZ36" s="216"/>
      <c r="EA36" s="216"/>
      <c r="EB36" s="216"/>
      <c r="EC36" s="216"/>
      <c r="ED36" s="216"/>
      <c r="EE36" s="216"/>
      <c r="EF36" s="216"/>
      <c r="EG36" s="216"/>
      <c r="EH36" s="216"/>
      <c r="EI36" s="216"/>
      <c r="EJ36" s="216"/>
      <c r="EK36" s="216"/>
      <c r="EL36" s="216"/>
      <c r="EM36" s="216"/>
      <c r="EN36" s="216"/>
      <c r="EO36" s="216"/>
      <c r="EP36" s="216"/>
      <c r="EQ36" s="216"/>
      <c r="ER36" s="216"/>
      <c r="ES36" s="216"/>
      <c r="ET36" s="216"/>
      <c r="EU36" s="216"/>
      <c r="EV36" s="216"/>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row>
    <row r="37" spans="1:185" ht="15" customHeight="1">
      <c r="A37" s="209" t="s">
        <v>230</v>
      </c>
      <c r="B37" s="45"/>
      <c r="C37" s="45"/>
      <c r="D37" s="45"/>
      <c r="E37" s="45"/>
      <c r="F37" s="45"/>
      <c r="G37" s="45"/>
      <c r="H37" s="45"/>
      <c r="I37" s="45"/>
      <c r="J37" s="45"/>
      <c r="K37" s="45"/>
      <c r="L37" s="45"/>
      <c r="M37" s="45"/>
      <c r="N37" s="46"/>
      <c r="O37" s="46"/>
      <c r="P37" s="46"/>
      <c r="Q37" s="45"/>
      <c r="R37" s="45"/>
      <c r="S37" s="45"/>
      <c r="T37" s="45"/>
      <c r="U37" s="45"/>
      <c r="V37" s="45"/>
      <c r="W37" s="45"/>
      <c r="X37" s="45"/>
      <c r="Y37" s="45"/>
      <c r="Z37" s="34"/>
      <c r="AA37" s="34"/>
      <c r="AB37" s="34"/>
      <c r="AC37" s="34"/>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row>
  </sheetData>
  <hyperlinks>
    <hyperlink ref="A35" r:id="rId1" xr:uid="{00000000-0004-0000-0300-000000000000}"/>
  </hyperlinks>
  <pageMargins left="0.70866141732283472" right="0.70866141732283472" top="0.74803149606299213" bottom="0.74803149606299213" header="0.31496062992125984" footer="0.31496062992125984"/>
  <pageSetup paperSize="9" scale="9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S801"/>
  <sheetViews>
    <sheetView zoomScale="80" zoomScaleNormal="80" workbookViewId="0">
      <selection sqref="A1:J1"/>
    </sheetView>
  </sheetViews>
  <sheetFormatPr defaultColWidth="0" defaultRowHeight="13.8" zeroHeight="1"/>
  <cols>
    <col min="1" max="1" width="10.21875" style="101" customWidth="1"/>
    <col min="2" max="10" width="14.77734375" style="101" customWidth="1"/>
    <col min="11" max="11" width="20.77734375" style="29" customWidth="1"/>
    <col min="12" max="12" width="20.44140625" style="70" hidden="1" customWidth="1"/>
    <col min="13" max="13" width="5.5546875" style="70" hidden="1" customWidth="1"/>
    <col min="14" max="17" width="10.77734375" style="70" hidden="1" customWidth="1"/>
    <col min="18" max="18" width="11.5546875" style="70" hidden="1" customWidth="1"/>
    <col min="19" max="19" width="10.5546875" style="70" hidden="1" customWidth="1"/>
    <col min="20" max="21" width="10.44140625" style="70" hidden="1" customWidth="1"/>
    <col min="22" max="22" width="13.44140625" style="70" hidden="1" customWidth="1"/>
    <col min="23" max="23" width="15" style="70" hidden="1" customWidth="1"/>
    <col min="24" max="27" width="2.77734375" style="70" hidden="1" customWidth="1"/>
    <col min="28" max="45" width="20.44140625" style="70" hidden="1" customWidth="1"/>
    <col min="46" max="16384" width="20.44140625" style="27" hidden="1"/>
  </cols>
  <sheetData>
    <row r="1" spans="1:13" ht="15" customHeight="1">
      <c r="A1" s="404" t="s">
        <v>52</v>
      </c>
      <c r="B1" s="405"/>
      <c r="C1" s="405"/>
      <c r="D1" s="405"/>
      <c r="E1" s="405"/>
      <c r="F1" s="405"/>
      <c r="G1" s="405"/>
      <c r="H1" s="405"/>
      <c r="I1" s="405"/>
      <c r="J1" s="406"/>
    </row>
    <row r="2" spans="1:13" ht="15" customHeight="1">
      <c r="A2" s="90" t="s">
        <v>30</v>
      </c>
      <c r="B2" s="102"/>
      <c r="C2" s="103" t="s">
        <v>53</v>
      </c>
      <c r="D2" s="104"/>
      <c r="E2" s="105"/>
      <c r="F2" s="103" t="s">
        <v>54</v>
      </c>
      <c r="G2" s="104"/>
      <c r="H2" s="105"/>
      <c r="I2" s="103" t="s">
        <v>55</v>
      </c>
      <c r="J2" s="104"/>
    </row>
    <row r="3" spans="1:13">
      <c r="A3" s="92">
        <v>1</v>
      </c>
      <c r="B3" s="93">
        <v>2</v>
      </c>
      <c r="C3" s="93">
        <v>3</v>
      </c>
      <c r="D3" s="93">
        <v>4</v>
      </c>
      <c r="E3" s="93">
        <v>5</v>
      </c>
      <c r="F3" s="93">
        <v>6</v>
      </c>
      <c r="G3" s="93">
        <v>7</v>
      </c>
      <c r="H3" s="106" t="s">
        <v>70</v>
      </c>
      <c r="I3" s="106" t="s">
        <v>71</v>
      </c>
      <c r="J3" s="106" t="s">
        <v>72</v>
      </c>
    </row>
    <row r="4" spans="1:13">
      <c r="A4" s="94"/>
      <c r="B4" s="93" t="s">
        <v>62</v>
      </c>
      <c r="C4" s="93" t="s">
        <v>51</v>
      </c>
      <c r="D4" s="93" t="s">
        <v>31</v>
      </c>
      <c r="E4" s="93" t="s">
        <v>62</v>
      </c>
      <c r="F4" s="93" t="s">
        <v>51</v>
      </c>
      <c r="G4" s="93" t="s">
        <v>31</v>
      </c>
      <c r="H4" s="93" t="s">
        <v>62</v>
      </c>
      <c r="I4" s="93" t="s">
        <v>51</v>
      </c>
      <c r="J4" s="93" t="s">
        <v>31</v>
      </c>
    </row>
    <row r="5" spans="1:13">
      <c r="A5" s="95"/>
      <c r="B5" s="107">
        <v>2024</v>
      </c>
      <c r="C5" s="107">
        <v>2025</v>
      </c>
      <c r="D5" s="107">
        <v>2026</v>
      </c>
      <c r="E5" s="107">
        <v>2024</v>
      </c>
      <c r="F5" s="107">
        <v>2025</v>
      </c>
      <c r="G5" s="107">
        <v>2026</v>
      </c>
      <c r="H5" s="107">
        <v>2024</v>
      </c>
      <c r="I5" s="107">
        <v>2025</v>
      </c>
      <c r="J5" s="107">
        <v>2026</v>
      </c>
    </row>
    <row r="6" spans="1:13">
      <c r="A6" s="97" t="s">
        <v>156</v>
      </c>
      <c r="B6" s="99">
        <f ca="1">IF(INDIRECT(ADDRESS(ROW('3'!BU$6),COLUMN('3'!BU$6)+ROW(A1)+$B$795,1,1,"3"))="","",INDIRECT(ADDRESS(ROW('3'!BU$6),COLUMN('3'!BU$6)+ROW(A1)+$B$795,1,1,"3")))</f>
        <v>1557359.8019999999</v>
      </c>
      <c r="C6" s="99">
        <f ca="1">IF(INDIRECT(ADDRESS(ROW('3'!BU$6),COLUMN('3'!BU$6)+ROW(A1)+$C$795,1,1,"3"))="","",INDIRECT(ADDRESS(ROW('3'!BU$6),COLUMN('3'!BU$6)+ROW(A1)+$C$795,1,1,"3")))</f>
        <v>1450465.2409999999</v>
      </c>
      <c r="D6" s="99">
        <f ca="1">IF(INDIRECT(ADDRESS(ROW('3'!BU$6),COLUMN('3'!BU$6)+ROW(A1)+$D$795,1,1,"3"))="","",INDIRECT(ADDRESS(ROW('3'!BU$6),COLUMN('3'!BU$6)+ROW(A1)+$D$795,1,1,"3")))</f>
        <v>1501897.0279999999</v>
      </c>
      <c r="E6" s="99">
        <f ca="1">IF(INDIRECT(ADDRESS(ROW('3'!BU$12),COLUMN('3'!BU$12)+ROW(A1)+$B$795,1,1,"3"))="","",INDIRECT(ADDRESS(ROW('3'!BU$12),COLUMN('3'!BU$12)+ROW(A1)+$B$795,1,1,"3")))</f>
        <v>1303627.6510000001</v>
      </c>
      <c r="F6" s="99">
        <f ca="1">IF(INDIRECT(ADDRESS(ROW('3'!BU$12),COLUMN('3'!BU$12)+ROW(A1)+$C$795,1,1,"3"))="","",INDIRECT(ADDRESS(ROW('3'!BU$12),COLUMN('3'!BU$12)+ROW(A1)+$C$795,1,1,"3")))</f>
        <v>1413198.9710000001</v>
      </c>
      <c r="G6" s="99">
        <f ca="1">IF(INDIRECT(ADDRESS(ROW('3'!BU$12),COLUMN('3'!BU$12)+ROW(A1)+$D$795,1,1,"3"))="","",INDIRECT(ADDRESS(ROW('3'!BU$12),COLUMN('3'!BU$12)+ROW(A1)+$D$795,1,1,"3")))</f>
        <v>1523437.9620000003</v>
      </c>
      <c r="H6" s="99">
        <f ca="1">IFERROR(B6-E6,"")</f>
        <v>253732.15099999984</v>
      </c>
      <c r="I6" s="99">
        <f ca="1">IFERROR(C6-F6,"")</f>
        <v>37266.269999999786</v>
      </c>
      <c r="J6" s="99">
        <f ca="1">IFERROR(D6-G6,"")</f>
        <v>-21540.934000000358</v>
      </c>
      <c r="L6" s="71"/>
      <c r="M6" s="71"/>
    </row>
    <row r="7" spans="1:13">
      <c r="A7" s="97" t="s">
        <v>157</v>
      </c>
      <c r="B7" s="99">
        <f ca="1">IF(INDIRECT(ADDRESS(ROW('3'!BU$6),COLUMN('3'!BU$6)+ROW(A2)+$B$795,1,1,"3"))="","",INDIRECT(ADDRESS(ROW('3'!BU$6),COLUMN('3'!BU$6)+ROW(A2)+$B$795,1,1,"3")))</f>
        <v>1355056.4539999999</v>
      </c>
      <c r="C7" s="99">
        <f ca="1">IF(INDIRECT(ADDRESS(ROW('3'!BU$6),COLUMN('3'!BU$6)+ROW(A2)+$C$795,1,1,"3"))="","",INDIRECT(ADDRESS(ROW('3'!BU$6),COLUMN('3'!BU$6)+ROW(A2)+$C$795,1,1,"3")))</f>
        <v>1441982.9519999996</v>
      </c>
      <c r="D7" s="99">
        <f ca="1">IF(INDIRECT(ADDRESS(ROW('3'!BU$6),COLUMN('3'!BU$6)+ROW(A2)+$D$795,1,1,"3"))="","",INDIRECT(ADDRESS(ROW('3'!BU$6),COLUMN('3'!BU$6)+ROW(A2)+$D$795,1,1,"3")))</f>
        <v>2041843.8710000003</v>
      </c>
      <c r="E7" s="99">
        <f ca="1">IF(INDIRECT(ADDRESS(ROW('3'!BU$12),COLUMN('3'!BU$12)+ROW(A2)+$B$795,1,1,"3"))="","",INDIRECT(ADDRESS(ROW('3'!BU$12),COLUMN('3'!BU$12)+ROW(A2)+$B$795,1,1,"3")))</f>
        <v>1427917.6090000002</v>
      </c>
      <c r="F7" s="99">
        <f ca="1">IF(INDIRECT(ADDRESS(ROW('3'!BU$12),COLUMN('3'!BU$12)+ROW(A2)+$C$795,1,1,"3"))="","",INDIRECT(ADDRESS(ROW('3'!BU$12),COLUMN('3'!BU$12)+ROW(A2)+$C$795,1,1,"3")))</f>
        <v>1547341.149</v>
      </c>
      <c r="G7" s="99">
        <f ca="1">IF(INDIRECT(ADDRESS(ROW('3'!BU$12),COLUMN('3'!BU$12)+ROW(A2)+$D$795,1,1,"3"))="","",INDIRECT(ADDRESS(ROW('3'!BU$12),COLUMN('3'!BU$12)+ROW(A2)+$D$795,1,1,"3")))</f>
        <v>1594854.3189999997</v>
      </c>
      <c r="H7" s="99">
        <f t="shared" ref="H7:H17" ca="1" si="0">IFERROR(B7-E7,"")</f>
        <v>-72861.155000000261</v>
      </c>
      <c r="I7" s="99">
        <f t="shared" ref="I7:I17" ca="1" si="1">IFERROR(C7-F7,"")</f>
        <v>-105358.19700000039</v>
      </c>
      <c r="J7" s="99">
        <f t="shared" ref="J7:J17" ca="1" si="2">IFERROR(D7-G7,"")</f>
        <v>446989.55200000061</v>
      </c>
      <c r="L7" s="71"/>
      <c r="M7" s="71"/>
    </row>
    <row r="8" spans="1:13">
      <c r="A8" s="97" t="s">
        <v>158</v>
      </c>
      <c r="B8" s="99">
        <f ca="1">IF(INDIRECT(ADDRESS(ROW('3'!BU$6),COLUMN('3'!BU$6)+ROW(A3)+$B$795,1,1,"3"))="","",INDIRECT(ADDRESS(ROW('3'!BU$6),COLUMN('3'!BU$6)+ROW(A3)+$B$795,1,1,"3")))</f>
        <v>1183497.7439999999</v>
      </c>
      <c r="C8" s="99">
        <f ca="1">IF(INDIRECT(ADDRESS(ROW('3'!BU$6),COLUMN('3'!BU$6)+ROW(A3)+$C$795,1,1,"3"))="","",INDIRECT(ADDRESS(ROW('3'!BU$6),COLUMN('3'!BU$6)+ROW(A3)+$C$795,1,1,"3")))</f>
        <v>1161206.1980000008</v>
      </c>
      <c r="D8" s="99">
        <f ca="1">IF(INDIRECT(ADDRESS(ROW('3'!BU$6),COLUMN('3'!BU$6)+ROW(A3)+$D$795,1,1,"3"))="","",INDIRECT(ADDRESS(ROW('3'!BU$6),COLUMN('3'!BU$6)+ROW(A3)+$D$795,1,1,"3")))</f>
        <v>1241805.8729999997</v>
      </c>
      <c r="E8" s="99">
        <f ca="1">IF(INDIRECT(ADDRESS(ROW('3'!BU$12),COLUMN('3'!BU$12)+ROW(A3)+$B$795,1,1,"3"))="","",INDIRECT(ADDRESS(ROW('3'!BU$12),COLUMN('3'!BU$12)+ROW(A3)+$B$795,1,1,"3")))</f>
        <v>1322792.966</v>
      </c>
      <c r="F8" s="99">
        <f ca="1">IF(INDIRECT(ADDRESS(ROW('3'!BU$12),COLUMN('3'!BU$12)+ROW(A3)+$C$795,1,1,"3"))="","",INDIRECT(ADDRESS(ROW('3'!BU$12),COLUMN('3'!BU$12)+ROW(A3)+$C$795,1,1,"3")))</f>
        <v>1614308.0899999999</v>
      </c>
      <c r="G8" s="99">
        <f ca="1">IF(INDIRECT(ADDRESS(ROW('3'!BU$12),COLUMN('3'!BU$12)+ROW(A3)+$D$795,1,1,"3"))="","",INDIRECT(ADDRESS(ROW('3'!BU$12),COLUMN('3'!BU$12)+ROW(A3)+$D$795,1,1,"3")))</f>
        <v>1660726.6760000004</v>
      </c>
      <c r="H8" s="99">
        <f t="shared" ca="1" si="0"/>
        <v>-139295.22200000007</v>
      </c>
      <c r="I8" s="99">
        <f t="shared" ca="1" si="1"/>
        <v>-453101.89199999906</v>
      </c>
      <c r="J8" s="99">
        <f t="shared" ca="1" si="2"/>
        <v>-418920.80300000077</v>
      </c>
      <c r="L8" s="71"/>
      <c r="M8" s="71"/>
    </row>
    <row r="9" spans="1:13">
      <c r="A9" s="97" t="s">
        <v>159</v>
      </c>
      <c r="B9" s="99">
        <f ca="1">IF(INDIRECT(ADDRESS(ROW('3'!BU$6),COLUMN('3'!BU$6)+ROW(A4)+$B$795,1,1,"3"))="","",INDIRECT(ADDRESS(ROW('3'!BU$6),COLUMN('3'!BU$6)+ROW(A4)+$B$795,1,1,"3")))</f>
        <v>1415647.6440000001</v>
      </c>
      <c r="C9" s="99">
        <f ca="1">IF(INDIRECT(ADDRESS(ROW('3'!BU$6),COLUMN('3'!BU$6)+ROW(A4)+$C$795,1,1,"3"))="","",INDIRECT(ADDRESS(ROW('3'!BU$6),COLUMN('3'!BU$6)+ROW(A4)+$C$795,1,1,"3")))</f>
        <v>1396940.9009999991</v>
      </c>
      <c r="D9" s="99">
        <f ca="1">IF(INDIRECT(ADDRESS(ROW('3'!BU$6),COLUMN('3'!BU$6)+ROW(A4)+$D$795,1,1,"3"))="","",INDIRECT(ADDRESS(ROW('3'!BU$6),COLUMN('3'!BU$6)+ROW(A4)+$D$795,1,1,"3")))</f>
        <v>1429556.0520000001</v>
      </c>
      <c r="E9" s="99">
        <f ca="1">IF(INDIRECT(ADDRESS(ROW('3'!BU$12),COLUMN('3'!BU$12)+ROW(A4)+$B$795,1,1,"3"))="","",INDIRECT(ADDRESS(ROW('3'!BU$12),COLUMN('3'!BU$12)+ROW(A4)+$B$795,1,1,"3")))</f>
        <v>1553303.541999999</v>
      </c>
      <c r="F9" s="99">
        <f ca="1">IF(INDIRECT(ADDRESS(ROW('3'!BU$12),COLUMN('3'!BU$12)+ROW(A4)+$C$795,1,1,"3"))="","",INDIRECT(ADDRESS(ROW('3'!BU$12),COLUMN('3'!BU$12)+ROW(A4)+$C$795,1,1,"3")))</f>
        <v>1653208.0950000007</v>
      </c>
      <c r="G9" s="99">
        <f ca="1">IF(INDIRECT(ADDRESS(ROW('3'!BU$12),COLUMN('3'!BU$12)+ROW(A4)+$D$795,1,1,"3"))="","",INDIRECT(ADDRESS(ROW('3'!BU$12),COLUMN('3'!BU$12)+ROW(A4)+$D$795,1,1,"3")))</f>
        <v>1573542.4799999995</v>
      </c>
      <c r="H9" s="99">
        <f t="shared" ca="1" si="0"/>
        <v>-137655.89799999888</v>
      </c>
      <c r="I9" s="99">
        <f t="shared" ca="1" si="1"/>
        <v>-256267.19400000153</v>
      </c>
      <c r="J9" s="99">
        <f t="shared" ca="1" si="2"/>
        <v>-143986.42799999937</v>
      </c>
      <c r="L9" s="71"/>
      <c r="M9" s="71"/>
    </row>
    <row r="10" spans="1:13">
      <c r="A10" s="97" t="s">
        <v>160</v>
      </c>
      <c r="B10" s="99">
        <f ca="1">IF(INDIRECT(ADDRESS(ROW('3'!BU$6),COLUMN('3'!BU$6)+ROW(A5)+$B$795,1,1,"3"))="","",INDIRECT(ADDRESS(ROW('3'!BU$6),COLUMN('3'!BU$6)+ROW(A5)+$B$795,1,1,"3")))</f>
        <v>1711860.2449999999</v>
      </c>
      <c r="C10" s="99">
        <f ca="1">IF(INDIRECT(ADDRESS(ROW('3'!BU$6),COLUMN('3'!BU$6)+ROW(A5)+$C$795,1,1,"3"))="","",INDIRECT(ADDRESS(ROW('3'!BU$6),COLUMN('3'!BU$6)+ROW(A5)+$C$795,1,1,"3")))</f>
        <v>1772410.4739999995</v>
      </c>
      <c r="D10" s="99">
        <f ca="1">IF(INDIRECT(ADDRESS(ROW('3'!BU$6),COLUMN('3'!BU$6)+ROW(A5)+$D$795,1,1,"3"))="","",INDIRECT(ADDRESS(ROW('3'!BU$6),COLUMN('3'!BU$6)+ROW(A5)+$D$795,1,1,"3")))</f>
        <v>1890532.88</v>
      </c>
      <c r="E10" s="99">
        <f ca="1">IF(INDIRECT(ADDRESS(ROW('3'!BU$12),COLUMN('3'!BU$12)+ROW(A5)+$B$795,1,1,"3"))="","",INDIRECT(ADDRESS(ROW('3'!BU$12),COLUMN('3'!BU$12)+ROW(A5)+$B$795,1,1,"3")))</f>
        <v>1362544.1009999998</v>
      </c>
      <c r="F10" s="99">
        <f ca="1">IF(INDIRECT(ADDRESS(ROW('3'!BU$12),COLUMN('3'!BU$12)+ROW(A5)+$C$795,1,1,"3"))="","",INDIRECT(ADDRESS(ROW('3'!BU$12),COLUMN('3'!BU$12)+ROW(A5)+$C$795,1,1,"3")))</f>
        <v>1414765.2749999994</v>
      </c>
      <c r="G10" s="99">
        <f ca="1">IF(INDIRECT(ADDRESS(ROW('3'!BU$12),COLUMN('3'!BU$12)+ROW(A5)+$D$795,1,1,"3"))="","",INDIRECT(ADDRESS(ROW('3'!BU$12),COLUMN('3'!BU$12)+ROW(A5)+$D$795,1,1,"3")))</f>
        <v>1553232.9539999999</v>
      </c>
      <c r="H10" s="99">
        <f t="shared" ca="1" si="0"/>
        <v>349316.14400000009</v>
      </c>
      <c r="I10" s="99">
        <f t="shared" ca="1" si="1"/>
        <v>357645.19900000002</v>
      </c>
      <c r="J10" s="99">
        <f t="shared" ca="1" si="2"/>
        <v>337299.92599999998</v>
      </c>
      <c r="L10" s="71"/>
      <c r="M10" s="71"/>
    </row>
    <row r="11" spans="1:13">
      <c r="A11" s="97" t="s">
        <v>161</v>
      </c>
      <c r="B11" s="99">
        <f ca="1">IF(INDIRECT(ADDRESS(ROW('3'!BU$6),COLUMN('3'!BU$6)+ROW(A6)+$B$795,1,1,"3"))="","",INDIRECT(ADDRESS(ROW('3'!BU$6),COLUMN('3'!BU$6)+ROW(A6)+$B$795,1,1,"3")))</f>
        <v>1789638.223</v>
      </c>
      <c r="C11" s="99">
        <f ca="1">IF(INDIRECT(ADDRESS(ROW('3'!BU$6),COLUMN('3'!BU$6)+ROW(A6)+$C$795,1,1,"3"))="","",INDIRECT(ADDRESS(ROW('3'!BU$6),COLUMN('3'!BU$6)+ROW(A6)+$C$795,1,1,"3")))</f>
        <v>1707690.7170000002</v>
      </c>
      <c r="D11" s="99">
        <f ca="1">IF(INDIRECT(ADDRESS(ROW('3'!BU$6),COLUMN('3'!BU$6)+ROW(A6)+$D$795,1,1,"3"))="","",INDIRECT(ADDRESS(ROW('3'!BU$6),COLUMN('3'!BU$6)+ROW(A6)+$D$795,1,1,"3")))</f>
        <v>1762502.5490000006</v>
      </c>
      <c r="E11" s="99">
        <f ca="1">IF(INDIRECT(ADDRESS(ROW('3'!BU$12),COLUMN('3'!BU$12)+ROW(A6)+$B$795,1,1,"3"))="","",INDIRECT(ADDRESS(ROW('3'!BU$12),COLUMN('3'!BU$12)+ROW(A6)+$B$795,1,1,"3")))</f>
        <v>1438872.2280000001</v>
      </c>
      <c r="F11" s="99">
        <f ca="1">IF(INDIRECT(ADDRESS(ROW('3'!BU$12),COLUMN('3'!BU$12)+ROW(A6)+$C$795,1,1,"3"))="","",INDIRECT(ADDRESS(ROW('3'!BU$12),COLUMN('3'!BU$12)+ROW(A6)+$C$795,1,1,"3")))</f>
        <v>1540929.8840000015</v>
      </c>
      <c r="G11" s="99">
        <f ca="1">IF(INDIRECT(ADDRESS(ROW('3'!BU$12),COLUMN('3'!BU$12)+ROW(A6)+$D$795,1,1,"3"))="","",INDIRECT(ADDRESS(ROW('3'!BU$12),COLUMN('3'!BU$12)+ROW(A6)+$D$795,1,1,"3")))</f>
        <v>1690277.0540000023</v>
      </c>
      <c r="H11" s="99">
        <f t="shared" ca="1" si="0"/>
        <v>350765.99499999988</v>
      </c>
      <c r="I11" s="99">
        <f t="shared" ca="1" si="1"/>
        <v>166760.8329999987</v>
      </c>
      <c r="J11" s="99">
        <f t="shared" ca="1" si="2"/>
        <v>72225.494999998249</v>
      </c>
      <c r="L11" s="71"/>
      <c r="M11" s="71"/>
    </row>
    <row r="12" spans="1:13">
      <c r="A12" s="97" t="s">
        <v>162</v>
      </c>
      <c r="B12" s="99">
        <f ca="1">IF(INDIRECT(ADDRESS(ROW('3'!BU$6),COLUMN('3'!BU$6)+ROW(A7)+$B$795,1,1,"3"))="","",INDIRECT(ADDRESS(ROW('3'!BU$6),COLUMN('3'!BU$6)+ROW(A7)+$B$795,1,1,"3")))</f>
        <v>1478726.0710000002</v>
      </c>
      <c r="C12" s="99">
        <f ca="1">IF(INDIRECT(ADDRESS(ROW('3'!BU$6),COLUMN('3'!BU$6)+ROW(A7)+$C$795,1,1,"3"))="","",INDIRECT(ADDRESS(ROW('3'!BU$6),COLUMN('3'!BU$6)+ROW(A7)+$C$795,1,1,"3")))</f>
        <v>1423418.7450000029</v>
      </c>
      <c r="D12" s="99">
        <f ca="1">IF(INDIRECT(ADDRESS(ROW('3'!BU$6),COLUMN('3'!BU$6)+ROW(A7)+$D$795,1,1,"3"))="","",INDIRECT(ADDRESS(ROW('3'!BU$6),COLUMN('3'!BU$6)+ROW(A7)+$D$795,1,1,"3")))</f>
        <v>1553971.6630000006</v>
      </c>
      <c r="E12" s="99">
        <f ca="1">IF(INDIRECT(ADDRESS(ROW('3'!BU$12),COLUMN('3'!BU$12)+ROW(A7)+$B$795,1,1,"3"))="","",INDIRECT(ADDRESS(ROW('3'!BU$12),COLUMN('3'!BU$12)+ROW(A7)+$B$795,1,1,"3")))</f>
        <v>1492723.1660000011</v>
      </c>
      <c r="F12" s="99">
        <f ca="1">IF(INDIRECT(ADDRESS(ROW('3'!BU$12),COLUMN('3'!BU$12)+ROW(A7)+$C$795,1,1,"3"))="","",INDIRECT(ADDRESS(ROW('3'!BU$12),COLUMN('3'!BU$12)+ROW(A7)+$C$795,1,1,"3")))</f>
        <v>1590302.9049999975</v>
      </c>
      <c r="G12" s="99">
        <f ca="1">IF(INDIRECT(ADDRESS(ROW('3'!BU$12),COLUMN('3'!BU$12)+ROW(A7)+$D$795,1,1,"3"))="","",INDIRECT(ADDRESS(ROW('3'!BU$12),COLUMN('3'!BU$12)+ROW(A7)+$D$795,1,1,"3")))</f>
        <v>1774974.8149999976</v>
      </c>
      <c r="H12" s="99">
        <f t="shared" ca="1" si="0"/>
        <v>-13997.095000000903</v>
      </c>
      <c r="I12" s="99">
        <f t="shared" ca="1" si="1"/>
        <v>-166884.15999999456</v>
      </c>
      <c r="J12" s="99">
        <f t="shared" ca="1" si="2"/>
        <v>-221003.15199999698</v>
      </c>
      <c r="L12" s="71"/>
      <c r="M12" s="71"/>
    </row>
    <row r="13" spans="1:13">
      <c r="A13" s="97" t="s">
        <v>163</v>
      </c>
      <c r="B13" s="99">
        <f ca="1">IF(INDIRECT(ADDRESS(ROW('3'!BU$6),COLUMN('3'!BU$6)+ROW(A8)+$B$795,1,1,"3"))="","",INDIRECT(ADDRESS(ROW('3'!BU$6),COLUMN('3'!BU$6)+ROW(A8)+$B$795,1,1,"3")))</f>
        <v>1374693.1979999996</v>
      </c>
      <c r="C13" s="99">
        <f ca="1">IF(INDIRECT(ADDRESS(ROW('3'!BU$6),COLUMN('3'!BU$6)+ROW(A8)+$C$795,1,1,"3"))="","",INDIRECT(ADDRESS(ROW('3'!BU$6),COLUMN('3'!BU$6)+ROW(A8)+$C$795,1,1,"3")))</f>
        <v>1610472.4329999965</v>
      </c>
      <c r="D13" s="99" t="str">
        <f ca="1">IF(INDIRECT(ADDRESS(ROW('3'!BU$6),COLUMN('3'!BU$6)+ROW(A8)+$D$795,1,1,"3"))="","",INDIRECT(ADDRESS(ROW('3'!BU$6),COLUMN('3'!BU$6)+ROW(A8)+$D$795,1,1,"3")))</f>
        <v/>
      </c>
      <c r="E13" s="99">
        <f ca="1">IF(INDIRECT(ADDRESS(ROW('3'!BU$12),COLUMN('3'!BU$12)+ROW(A8)+$B$795,1,1,"3"))="","",INDIRECT(ADDRESS(ROW('3'!BU$12),COLUMN('3'!BU$12)+ROW(A8)+$B$795,1,1,"3")))</f>
        <v>1314621.5870000012</v>
      </c>
      <c r="F13" s="99">
        <f ca="1">IF(INDIRECT(ADDRESS(ROW('3'!BU$12),COLUMN('3'!BU$12)+ROW(A8)+$C$795,1,1,"3"))="","",INDIRECT(ADDRESS(ROW('3'!BU$12),COLUMN('3'!BU$12)+ROW(A8)+$C$795,1,1,"3")))</f>
        <v>1447542.7019999996</v>
      </c>
      <c r="G13" s="99" t="str">
        <f ca="1">IF(INDIRECT(ADDRESS(ROW('3'!BU$12),COLUMN('3'!BU$12)+ROW(A8)+$D$795,1,1,"3"))="","",INDIRECT(ADDRESS(ROW('3'!BU$12),COLUMN('3'!BU$12)+ROW(A8)+$D$795,1,1,"3")))</f>
        <v/>
      </c>
      <c r="H13" s="99">
        <f t="shared" ca="1" si="0"/>
        <v>60071.610999998404</v>
      </c>
      <c r="I13" s="99">
        <f t="shared" ca="1" si="1"/>
        <v>162929.73099999689</v>
      </c>
      <c r="J13" s="99" t="str">
        <f t="shared" ca="1" si="2"/>
        <v/>
      </c>
      <c r="L13" s="71"/>
      <c r="M13" s="71"/>
    </row>
    <row r="14" spans="1:13">
      <c r="A14" s="97" t="s">
        <v>164</v>
      </c>
      <c r="B14" s="99">
        <f ca="1">IF(INDIRECT(ADDRESS(ROW('3'!BU$6),COLUMN('3'!BU$6)+ROW(A9)+$B$795,1,1,"3"))="","",INDIRECT(ADDRESS(ROW('3'!BU$6),COLUMN('3'!BU$6)+ROW(A9)+$B$795,1,1,"3")))</f>
        <v>1261556.1070000012</v>
      </c>
      <c r="C14" s="99">
        <f ca="1">IF(INDIRECT(ADDRESS(ROW('3'!BU$6),COLUMN('3'!BU$6)+ROW(A9)+$C$795,1,1,"3"))="","",INDIRECT(ADDRESS(ROW('3'!BU$6),COLUMN('3'!BU$6)+ROW(A9)+$C$795,1,1,"3")))</f>
        <v>1294154.9310000017</v>
      </c>
      <c r="D14" s="99" t="str">
        <f ca="1">IF(INDIRECT(ADDRESS(ROW('3'!BU$6),COLUMN('3'!BU$6)+ROW(A9)+$D$795,1,1,"3"))="","",INDIRECT(ADDRESS(ROW('3'!BU$6),COLUMN('3'!BU$6)+ROW(A9)+$D$795,1,1,"3")))</f>
        <v/>
      </c>
      <c r="E14" s="99">
        <f ca="1">IF(INDIRECT(ADDRESS(ROW('3'!BU$12),COLUMN('3'!BU$12)+ROW(A9)+$B$795,1,1,"3"))="","",INDIRECT(ADDRESS(ROW('3'!BU$12),COLUMN('3'!BU$12)+ROW(A9)+$B$795,1,1,"3")))</f>
        <v>1304550.4690000005</v>
      </c>
      <c r="F14" s="99">
        <f ca="1">IF(INDIRECT(ADDRESS(ROW('3'!BU$12),COLUMN('3'!BU$12)+ROW(A9)+$C$795,1,1,"3"))="","",INDIRECT(ADDRESS(ROW('3'!BU$12),COLUMN('3'!BU$12)+ROW(A9)+$C$795,1,1,"3")))</f>
        <v>1539352.0540000014</v>
      </c>
      <c r="G14" s="99" t="str">
        <f ca="1">IF(INDIRECT(ADDRESS(ROW('3'!BU$12),COLUMN('3'!BU$12)+ROW(A9)+$D$795,1,1,"3"))="","",INDIRECT(ADDRESS(ROW('3'!BU$12),COLUMN('3'!BU$12)+ROW(A9)+$D$795,1,1,"3")))</f>
        <v/>
      </c>
      <c r="H14" s="99">
        <f t="shared" ca="1" si="0"/>
        <v>-42994.361999999266</v>
      </c>
      <c r="I14" s="99">
        <f t="shared" ca="1" si="1"/>
        <v>-245197.12299999967</v>
      </c>
      <c r="J14" s="99" t="str">
        <f t="shared" ca="1" si="2"/>
        <v/>
      </c>
      <c r="L14" s="71"/>
      <c r="M14" s="71"/>
    </row>
    <row r="15" spans="1:13">
      <c r="A15" s="97" t="s">
        <v>165</v>
      </c>
      <c r="B15" s="99">
        <f ca="1">IF(INDIRECT(ADDRESS(ROW('3'!BU$6),COLUMN('3'!BU$6)+ROW(A10)+$B$795,1,1,"3"))="","",INDIRECT(ADDRESS(ROW('3'!BU$6),COLUMN('3'!BU$6)+ROW(A10)+$B$795,1,1,"3")))</f>
        <v>1282732.1999999983</v>
      </c>
      <c r="C15" s="99">
        <f ca="1">IF(INDIRECT(ADDRESS(ROW('3'!BU$6),COLUMN('3'!BU$6)+ROW(A10)+$C$795,1,1,"3"))="","",INDIRECT(ADDRESS(ROW('3'!BU$6),COLUMN('3'!BU$6)+ROW(A10)+$C$795,1,1,"3")))</f>
        <v>1351476.6319999993</v>
      </c>
      <c r="D15" s="99" t="str">
        <f ca="1">IF(INDIRECT(ADDRESS(ROW('3'!BU$6),COLUMN('3'!BU$6)+ROW(A10)+$D$795,1,1,"3"))="","",INDIRECT(ADDRESS(ROW('3'!BU$6),COLUMN('3'!BU$6)+ROW(A10)+$D$795,1,1,"3")))</f>
        <v/>
      </c>
      <c r="E15" s="99">
        <f ca="1">IF(INDIRECT(ADDRESS(ROW('3'!BU$12),COLUMN('3'!BU$12)+ROW(A10)+$B$795,1,1,"3"))="","",INDIRECT(ADDRESS(ROW('3'!BU$12),COLUMN('3'!BU$12)+ROW(A10)+$B$795,1,1,"3")))</f>
        <v>1578167.1949999984</v>
      </c>
      <c r="F15" s="99">
        <f ca="1">IF(INDIRECT(ADDRESS(ROW('3'!BU$12),COLUMN('3'!BU$12)+ROW(A10)+$C$795,1,1,"3"))="","",INDIRECT(ADDRESS(ROW('3'!BU$12),COLUMN('3'!BU$12)+ROW(A10)+$C$795,1,1,"3")))</f>
        <v>1659907.5130000003</v>
      </c>
      <c r="G15" s="99" t="str">
        <f ca="1">IF(INDIRECT(ADDRESS(ROW('3'!BU$12),COLUMN('3'!BU$12)+ROW(A10)+$D$795,1,1,"3"))="","",INDIRECT(ADDRESS(ROW('3'!BU$12),COLUMN('3'!BU$12)+ROW(A10)+$D$795,1,1,"3")))</f>
        <v/>
      </c>
      <c r="H15" s="99">
        <f t="shared" ca="1" si="0"/>
        <v>-295434.99500000011</v>
      </c>
      <c r="I15" s="99">
        <f t="shared" ca="1" si="1"/>
        <v>-308430.88100000098</v>
      </c>
      <c r="J15" s="99" t="str">
        <f t="shared" ca="1" si="2"/>
        <v/>
      </c>
      <c r="L15" s="71"/>
      <c r="M15" s="71"/>
    </row>
    <row r="16" spans="1:13">
      <c r="A16" s="97" t="s">
        <v>166</v>
      </c>
      <c r="B16" s="99">
        <f ca="1">IF(INDIRECT(ADDRESS(ROW('3'!BU$6),COLUMN('3'!BU$6)+ROW(A11)+$B$795,1,1,"3"))="","",INDIRECT(ADDRESS(ROW('3'!BU$6),COLUMN('3'!BU$6)+ROW(A11)+$B$795,1,1,"3")))</f>
        <v>1264748.5330000003</v>
      </c>
      <c r="C16" s="99">
        <f ca="1">IF(INDIRECT(ADDRESS(ROW('3'!BU$6),COLUMN('3'!BU$6)+ROW(A11)+$C$795,1,1,"3"))="","",INDIRECT(ADDRESS(ROW('3'!BU$6),COLUMN('3'!BU$6)+ROW(A11)+$C$795,1,1,"3")))</f>
        <v>1335414.6130000018</v>
      </c>
      <c r="D16" s="99" t="str">
        <f ca="1">IF(INDIRECT(ADDRESS(ROW('3'!BU$6),COLUMN('3'!BU$6)+ROW(A11)+$D$795,1,1,"3"))="","",INDIRECT(ADDRESS(ROW('3'!BU$6),COLUMN('3'!BU$6)+ROW(A11)+$D$795,1,1,"3")))</f>
        <v/>
      </c>
      <c r="E16" s="99">
        <f ca="1">IF(INDIRECT(ADDRESS(ROW('3'!BU$12),COLUMN('3'!BU$12)+ROW(A11)+$B$795,1,1,"3"))="","",INDIRECT(ADDRESS(ROW('3'!BU$12),COLUMN('3'!BU$12)+ROW(A11)+$B$795,1,1,"3")))</f>
        <v>1506903.9630000014</v>
      </c>
      <c r="F16" s="99">
        <f ca="1">IF(INDIRECT(ADDRESS(ROW('3'!BU$12),COLUMN('3'!BU$12)+ROW(A11)+$C$795,1,1,"3"))="","",INDIRECT(ADDRESS(ROW('3'!BU$12),COLUMN('3'!BU$12)+ROW(A11)+$C$795,1,1,"3")))</f>
        <v>1557197.1920000017</v>
      </c>
      <c r="G16" s="99" t="str">
        <f ca="1">IF(INDIRECT(ADDRESS(ROW('3'!BU$12),COLUMN('3'!BU$12)+ROW(A11)+$D$795,1,1,"3"))="","",INDIRECT(ADDRESS(ROW('3'!BU$12),COLUMN('3'!BU$12)+ROW(A11)+$D$795,1,1,"3")))</f>
        <v/>
      </c>
      <c r="H16" s="99">
        <f t="shared" ca="1" si="0"/>
        <v>-242155.4300000011</v>
      </c>
      <c r="I16" s="99">
        <f t="shared" ca="1" si="1"/>
        <v>-221782.57899999991</v>
      </c>
      <c r="J16" s="99" t="str">
        <f t="shared" ca="1" si="2"/>
        <v/>
      </c>
      <c r="L16" s="71"/>
      <c r="M16" s="71"/>
    </row>
    <row r="17" spans="1:13">
      <c r="A17" s="97" t="s">
        <v>167</v>
      </c>
      <c r="B17" s="99">
        <f ca="1">IF(INDIRECT(ADDRESS(ROW('3'!BU$6),COLUMN('3'!BU$6)+ROW(A12)+$B$795,1,1,"3"))="","",INDIRECT(ADDRESS(ROW('3'!BU$6),COLUMN('3'!BU$6)+ROW(A12)+$B$795,1,1,"3")))</f>
        <v>1470191.433</v>
      </c>
      <c r="C17" s="99">
        <f ca="1">IF(INDIRECT(ADDRESS(ROW('3'!BU$6),COLUMN('3'!BU$6)+ROW(A12)+$C$795,1,1,"3"))="","",INDIRECT(ADDRESS(ROW('3'!BU$6),COLUMN('3'!BU$6)+ROW(A12)+$C$795,1,1,"3")))</f>
        <v>1832092.7490000017</v>
      </c>
      <c r="D17" s="99" t="str">
        <f ca="1">IF(INDIRECT(ADDRESS(ROW('3'!BU$6),COLUMN('3'!BU$6)+ROW(A12)+$D$795,1,1,"3"))="","",INDIRECT(ADDRESS(ROW('3'!BU$6),COLUMN('3'!BU$6)+ROW(A12)+$D$795,1,1,"3")))</f>
        <v/>
      </c>
      <c r="E17" s="99">
        <f ca="1">IF(INDIRECT(ADDRESS(ROW('3'!BU$12),COLUMN('3'!BU$12)+ROW(A12)+$B$795,1,1,"3"))="","",INDIRECT(ADDRESS(ROW('3'!BU$12),COLUMN('3'!BU$12)+ROW(A12)+$B$795,1,1,"3")))</f>
        <v>2272808.0069999993</v>
      </c>
      <c r="F17" s="99">
        <f ca="1">IF(INDIRECT(ADDRESS(ROW('3'!BU$12),COLUMN('3'!BU$12)+ROW(A12)+$C$795,1,1,"3"))="","",INDIRECT(ADDRESS(ROW('3'!BU$12),COLUMN('3'!BU$12)+ROW(A12)+$C$795,1,1,"3")))</f>
        <v>2540369.5939999968</v>
      </c>
      <c r="G17" s="99" t="str">
        <f ca="1">IF(INDIRECT(ADDRESS(ROW('3'!BU$12),COLUMN('3'!BU$12)+ROW(A12)+$D$795,1,1,"3"))="","",INDIRECT(ADDRESS(ROW('3'!BU$12),COLUMN('3'!BU$12)+ROW(A12)+$D$795,1,1,"3")))</f>
        <v/>
      </c>
      <c r="H17" s="99">
        <f t="shared" ca="1" si="0"/>
        <v>-802616.57399999932</v>
      </c>
      <c r="I17" s="99">
        <f t="shared" ca="1" si="1"/>
        <v>-708276.84499999508</v>
      </c>
      <c r="J17" s="99" t="str">
        <f t="shared" ca="1" si="2"/>
        <v/>
      </c>
      <c r="L17" s="71"/>
      <c r="M17" s="71"/>
    </row>
    <row r="18" spans="1:13">
      <c r="A18" s="108" t="s">
        <v>168</v>
      </c>
      <c r="B18" s="99">
        <f t="shared" ref="B18:J18" ca="1" si="3">SUM(B6:B17)</f>
        <v>17145707.653999995</v>
      </c>
      <c r="C18" s="99">
        <f t="shared" ca="1" si="3"/>
        <v>17777726.586000003</v>
      </c>
      <c r="D18" s="99">
        <f t="shared" ca="1" si="3"/>
        <v>11422109.916000001</v>
      </c>
      <c r="E18" s="99">
        <f t="shared" ca="1" si="3"/>
        <v>17878832.484000001</v>
      </c>
      <c r="F18" s="99">
        <f t="shared" ca="1" si="3"/>
        <v>19518423.423999999</v>
      </c>
      <c r="G18" s="99">
        <f t="shared" ca="1" si="3"/>
        <v>11371046.26</v>
      </c>
      <c r="H18" s="99">
        <f t="shared" ca="1" si="3"/>
        <v>-733124.8300000017</v>
      </c>
      <c r="I18" s="99">
        <f t="shared" ca="1" si="3"/>
        <v>-1740696.8379999958</v>
      </c>
      <c r="J18" s="99">
        <f t="shared" ca="1" si="3"/>
        <v>51063.656000001356</v>
      </c>
    </row>
    <row r="19" spans="1:13">
      <c r="A19" s="89"/>
      <c r="B19" s="89"/>
      <c r="C19" s="89"/>
      <c r="D19" s="89"/>
      <c r="E19" s="89"/>
      <c r="F19" s="89"/>
      <c r="G19" s="89"/>
      <c r="H19" s="89"/>
      <c r="I19" s="89"/>
      <c r="J19" s="89"/>
    </row>
    <row r="20" spans="1:13">
      <c r="A20" s="89"/>
      <c r="B20" s="89"/>
      <c r="C20" s="89"/>
      <c r="D20" s="89"/>
      <c r="E20" s="89"/>
      <c r="F20" s="89"/>
      <c r="G20" s="89"/>
      <c r="H20" s="89"/>
      <c r="I20" s="89"/>
      <c r="J20" s="89"/>
    </row>
    <row r="21" spans="1:13">
      <c r="A21" s="89"/>
      <c r="B21" s="89"/>
      <c r="C21" s="89"/>
      <c r="D21" s="89"/>
      <c r="E21" s="89"/>
      <c r="F21" s="89"/>
      <c r="G21" s="89"/>
      <c r="H21" s="89"/>
      <c r="I21" s="89"/>
      <c r="J21" s="89"/>
    </row>
    <row r="22" spans="1:13">
      <c r="A22" s="89"/>
      <c r="B22" s="122"/>
      <c r="C22" s="89"/>
      <c r="D22" s="89"/>
      <c r="E22" s="89"/>
      <c r="F22" s="89"/>
      <c r="G22" s="89"/>
      <c r="H22" s="89"/>
      <c r="I22" s="89"/>
      <c r="J22" s="89"/>
    </row>
    <row r="23" spans="1:13">
      <c r="A23" s="89"/>
      <c r="B23" s="89"/>
      <c r="C23" s="89"/>
      <c r="D23" s="89"/>
      <c r="E23" s="89"/>
      <c r="F23" s="89"/>
      <c r="G23" s="89"/>
      <c r="H23" s="89"/>
      <c r="I23" s="89"/>
      <c r="J23" s="89"/>
    </row>
    <row r="24" spans="1:13">
      <c r="A24" s="89"/>
      <c r="B24" s="89"/>
      <c r="C24" s="89"/>
      <c r="D24" s="89"/>
      <c r="E24" s="89"/>
      <c r="F24" s="89"/>
      <c r="G24" s="89"/>
      <c r="H24" s="89"/>
      <c r="I24" s="89"/>
      <c r="J24" s="89"/>
    </row>
    <row r="25" spans="1:13">
      <c r="A25" s="89"/>
      <c r="B25" s="89"/>
      <c r="C25" s="89"/>
      <c r="D25" s="89"/>
      <c r="E25" s="89"/>
      <c r="F25" s="89"/>
      <c r="G25" s="89"/>
      <c r="H25" s="89"/>
      <c r="I25" s="89"/>
      <c r="J25" s="89"/>
    </row>
    <row r="26" spans="1:13">
      <c r="A26" s="89"/>
      <c r="B26" s="89"/>
      <c r="C26" s="89"/>
      <c r="D26" s="89"/>
      <c r="E26" s="89"/>
      <c r="F26" s="89"/>
      <c r="G26" s="89"/>
      <c r="H26" s="89"/>
      <c r="I26" s="89"/>
      <c r="J26" s="89"/>
    </row>
    <row r="27" spans="1:13">
      <c r="A27" s="89"/>
      <c r="B27" s="89"/>
      <c r="C27" s="89"/>
      <c r="D27" s="89"/>
      <c r="E27" s="89"/>
      <c r="F27" s="89"/>
      <c r="G27" s="89"/>
      <c r="H27" s="89"/>
      <c r="I27" s="89"/>
      <c r="J27" s="89"/>
    </row>
    <row r="28" spans="1:13">
      <c r="A28" s="89"/>
      <c r="B28" s="89"/>
      <c r="C28" s="89"/>
      <c r="D28" s="89"/>
      <c r="E28" s="89"/>
      <c r="F28" s="89"/>
      <c r="G28" s="89"/>
      <c r="H28" s="89"/>
      <c r="I28" s="89"/>
      <c r="J28" s="89"/>
    </row>
    <row r="29" spans="1:13">
      <c r="A29" s="89"/>
      <c r="B29" s="89"/>
      <c r="C29" s="89"/>
      <c r="D29" s="89"/>
      <c r="E29" s="89"/>
      <c r="F29" s="89"/>
      <c r="G29" s="89"/>
      <c r="H29" s="89"/>
      <c r="I29" s="89"/>
      <c r="J29" s="89"/>
    </row>
    <row r="30" spans="1:13">
      <c r="A30" s="89"/>
      <c r="B30" s="89"/>
      <c r="C30" s="89"/>
      <c r="D30" s="89"/>
      <c r="E30" s="89"/>
      <c r="F30" s="89"/>
      <c r="G30" s="89"/>
      <c r="H30" s="89"/>
      <c r="I30" s="89"/>
      <c r="J30" s="89"/>
    </row>
    <row r="31" spans="1:13">
      <c r="A31" s="89"/>
      <c r="B31" s="89"/>
      <c r="C31" s="89"/>
      <c r="D31" s="89"/>
      <c r="E31" s="89"/>
      <c r="F31" s="89"/>
      <c r="G31" s="89"/>
      <c r="H31" s="89"/>
      <c r="I31" s="89"/>
      <c r="J31" s="89"/>
    </row>
    <row r="32" spans="1:13">
      <c r="A32" s="89"/>
      <c r="B32" s="89"/>
      <c r="C32" s="89"/>
      <c r="D32" s="89"/>
      <c r="E32" s="89"/>
      <c r="F32" s="89"/>
      <c r="G32" s="89"/>
      <c r="H32" s="89"/>
      <c r="I32" s="89"/>
      <c r="J32" s="89"/>
    </row>
    <row r="33" spans="1:10">
      <c r="A33" s="89"/>
      <c r="B33" s="89"/>
      <c r="C33" s="89"/>
      <c r="D33" s="89"/>
      <c r="E33" s="89"/>
      <c r="F33" s="89"/>
      <c r="G33" s="89"/>
      <c r="H33" s="89"/>
      <c r="I33" s="89"/>
      <c r="J33" s="89"/>
    </row>
    <row r="34" spans="1:10">
      <c r="A34" s="89"/>
      <c r="B34" s="89"/>
      <c r="C34" s="89"/>
      <c r="D34" s="89"/>
      <c r="E34" s="89"/>
      <c r="F34" s="89"/>
      <c r="G34" s="89"/>
      <c r="H34" s="89"/>
      <c r="I34" s="89"/>
      <c r="J34" s="89"/>
    </row>
    <row r="35" spans="1:10">
      <c r="A35" s="89"/>
      <c r="B35" s="89"/>
      <c r="C35" s="89"/>
      <c r="D35" s="89"/>
      <c r="E35" s="89"/>
      <c r="F35" s="89"/>
      <c r="G35" s="89"/>
      <c r="H35" s="89"/>
      <c r="I35" s="89"/>
      <c r="J35" s="89"/>
    </row>
    <row r="36" spans="1:10">
      <c r="A36" s="89"/>
      <c r="B36" s="89"/>
      <c r="C36" s="89"/>
      <c r="D36" s="89"/>
      <c r="E36" s="89"/>
      <c r="F36" s="89"/>
      <c r="G36" s="89"/>
      <c r="H36" s="89"/>
      <c r="I36" s="89"/>
      <c r="J36" s="89"/>
    </row>
    <row r="37" spans="1:10">
      <c r="A37" s="89"/>
      <c r="B37" s="89"/>
      <c r="C37" s="89"/>
      <c r="D37" s="89"/>
      <c r="E37" s="89"/>
      <c r="F37" s="89"/>
      <c r="G37" s="89"/>
      <c r="H37" s="89"/>
      <c r="I37" s="89"/>
      <c r="J37" s="89"/>
    </row>
    <row r="38" spans="1:10">
      <c r="A38" s="89"/>
      <c r="B38" s="89"/>
      <c r="C38" s="89"/>
      <c r="D38" s="89"/>
      <c r="E38" s="89"/>
      <c r="F38" s="89"/>
      <c r="G38" s="89"/>
      <c r="H38" s="89"/>
      <c r="I38" s="89"/>
      <c r="J38" s="89"/>
    </row>
    <row r="39" spans="1:10">
      <c r="A39" s="89"/>
      <c r="B39" s="89"/>
      <c r="C39" s="89"/>
      <c r="D39" s="89"/>
      <c r="E39" s="89"/>
      <c r="F39" s="89"/>
      <c r="G39" s="89"/>
      <c r="H39" s="89"/>
      <c r="I39" s="89"/>
      <c r="J39" s="89"/>
    </row>
    <row r="40" spans="1:10">
      <c r="A40" s="89"/>
      <c r="B40" s="89"/>
      <c r="C40" s="89"/>
      <c r="D40" s="89"/>
      <c r="E40" s="89"/>
      <c r="F40" s="89"/>
      <c r="G40" s="89"/>
      <c r="H40" s="89"/>
      <c r="I40" s="89"/>
      <c r="J40" s="89"/>
    </row>
    <row r="41" spans="1:10">
      <c r="A41" s="89"/>
      <c r="B41" s="89"/>
      <c r="C41" s="89"/>
      <c r="D41" s="89"/>
      <c r="E41" s="89"/>
      <c r="F41" s="89"/>
      <c r="G41" s="89"/>
      <c r="H41" s="89"/>
      <c r="I41" s="89"/>
      <c r="J41" s="89"/>
    </row>
    <row r="42" spans="1:10">
      <c r="A42" s="89"/>
      <c r="B42" s="89"/>
      <c r="C42" s="89"/>
      <c r="D42" s="89"/>
      <c r="E42" s="89"/>
      <c r="F42" s="89"/>
      <c r="G42" s="89"/>
      <c r="H42" s="89"/>
      <c r="I42" s="89"/>
      <c r="J42" s="89"/>
    </row>
    <row r="43" spans="1:10">
      <c r="A43" s="89"/>
      <c r="B43" s="89"/>
      <c r="C43" s="89"/>
      <c r="D43" s="89"/>
      <c r="E43" s="89"/>
      <c r="F43" s="89"/>
      <c r="G43" s="89"/>
      <c r="H43" s="89"/>
      <c r="I43" s="89"/>
      <c r="J43" s="89"/>
    </row>
    <row r="44" spans="1:10">
      <c r="A44" s="89"/>
      <c r="B44" s="89"/>
      <c r="C44" s="89"/>
      <c r="D44" s="89"/>
      <c r="E44" s="89"/>
      <c r="F44" s="89"/>
      <c r="G44" s="89"/>
      <c r="H44" s="89"/>
      <c r="I44" s="89"/>
      <c r="J44" s="89"/>
    </row>
    <row r="45" spans="1:10">
      <c r="A45" s="89"/>
      <c r="B45" s="89"/>
      <c r="C45" s="89"/>
      <c r="D45" s="89"/>
      <c r="E45" s="89"/>
      <c r="F45" s="89"/>
      <c r="G45" s="89"/>
      <c r="H45" s="89"/>
      <c r="I45" s="89"/>
      <c r="J45" s="89"/>
    </row>
    <row r="46" spans="1:10">
      <c r="A46" s="89"/>
      <c r="B46" s="89"/>
      <c r="C46" s="89"/>
      <c r="D46" s="89"/>
      <c r="E46" s="89"/>
      <c r="F46" s="89"/>
      <c r="G46" s="89"/>
      <c r="H46" s="89"/>
      <c r="I46" s="89"/>
      <c r="J46" s="89"/>
    </row>
    <row r="47" spans="1:10">
      <c r="A47" s="89"/>
      <c r="B47" s="89"/>
      <c r="C47" s="89"/>
      <c r="D47" s="89"/>
      <c r="E47" s="89"/>
      <c r="F47" s="89"/>
      <c r="G47" s="89"/>
      <c r="H47" s="89"/>
      <c r="I47" s="89"/>
      <c r="J47" s="89"/>
    </row>
    <row r="48" spans="1:10">
      <c r="A48" s="89"/>
      <c r="B48" s="89"/>
      <c r="C48" s="89"/>
      <c r="D48" s="89"/>
      <c r="E48" s="89"/>
      <c r="F48" s="89"/>
      <c r="G48" s="89"/>
      <c r="H48" s="89"/>
      <c r="I48" s="89"/>
      <c r="J48" s="89"/>
    </row>
    <row r="49" spans="1:10">
      <c r="A49" s="89"/>
      <c r="B49" s="89"/>
      <c r="C49" s="89"/>
      <c r="D49" s="89"/>
      <c r="E49" s="89"/>
      <c r="F49" s="89"/>
      <c r="G49" s="89"/>
      <c r="H49" s="89"/>
      <c r="I49" s="89"/>
      <c r="J49" s="89"/>
    </row>
    <row r="50" spans="1:10">
      <c r="A50" s="89"/>
      <c r="B50" s="89"/>
      <c r="C50" s="89"/>
      <c r="D50" s="89"/>
      <c r="E50" s="89"/>
      <c r="F50" s="89"/>
      <c r="G50" s="89"/>
      <c r="H50" s="89"/>
      <c r="I50" s="89"/>
      <c r="J50" s="89"/>
    </row>
    <row r="51" spans="1:10">
      <c r="A51" s="89"/>
      <c r="B51" s="89"/>
      <c r="C51" s="89"/>
      <c r="D51" s="89"/>
      <c r="E51" s="89"/>
      <c r="F51" s="89"/>
      <c r="G51" s="89"/>
      <c r="H51" s="89"/>
      <c r="I51" s="89"/>
      <c r="J51" s="89"/>
    </row>
    <row r="52" spans="1:10">
      <c r="A52" s="89"/>
      <c r="B52" s="89"/>
      <c r="C52" s="89"/>
      <c r="D52" s="89"/>
      <c r="E52" s="89"/>
      <c r="F52" s="89"/>
      <c r="G52" s="89"/>
      <c r="H52" s="89"/>
      <c r="I52" s="89"/>
      <c r="J52" s="89"/>
    </row>
    <row r="53" spans="1:10">
      <c r="A53" s="89"/>
      <c r="B53" s="89"/>
      <c r="C53" s="89"/>
      <c r="D53" s="89"/>
      <c r="E53" s="89"/>
      <c r="F53" s="89"/>
      <c r="G53" s="89"/>
      <c r="H53" s="89"/>
      <c r="I53" s="89"/>
      <c r="J53" s="89"/>
    </row>
    <row r="54" spans="1:10">
      <c r="A54" s="89"/>
      <c r="B54" s="89"/>
      <c r="C54" s="89"/>
      <c r="D54" s="89"/>
      <c r="E54" s="89"/>
      <c r="F54" s="89"/>
      <c r="G54" s="89"/>
      <c r="H54" s="89"/>
      <c r="I54" s="89"/>
      <c r="J54" s="89"/>
    </row>
    <row r="55" spans="1:10">
      <c r="A55" s="89"/>
      <c r="B55" s="89"/>
      <c r="C55" s="89"/>
      <c r="D55" s="89"/>
      <c r="E55" s="89"/>
      <c r="F55" s="89"/>
      <c r="G55" s="89"/>
      <c r="H55" s="89"/>
      <c r="I55" s="89"/>
      <c r="J55" s="89"/>
    </row>
    <row r="56" spans="1:10">
      <c r="A56" s="89"/>
      <c r="B56" s="89"/>
      <c r="C56" s="89"/>
      <c r="D56" s="89"/>
      <c r="E56" s="89"/>
      <c r="F56" s="89"/>
      <c r="G56" s="89"/>
      <c r="H56" s="89"/>
      <c r="I56" s="89"/>
      <c r="J56" s="89"/>
    </row>
    <row r="57" spans="1:10">
      <c r="A57" s="89"/>
      <c r="B57" s="89"/>
      <c r="C57" s="89"/>
      <c r="D57" s="89"/>
      <c r="E57" s="89"/>
      <c r="F57" s="89"/>
      <c r="G57" s="89"/>
      <c r="H57" s="89"/>
      <c r="I57" s="89"/>
      <c r="J57" s="89"/>
    </row>
    <row r="58" spans="1:10">
      <c r="A58" s="89"/>
      <c r="B58" s="89"/>
      <c r="C58" s="89"/>
      <c r="D58" s="89"/>
      <c r="E58" s="89"/>
      <c r="F58" s="89"/>
      <c r="G58" s="89"/>
      <c r="H58" s="89"/>
      <c r="I58" s="89"/>
      <c r="J58" s="89"/>
    </row>
    <row r="59" spans="1:10">
      <c r="A59" s="89"/>
      <c r="B59" s="89"/>
      <c r="C59" s="89"/>
      <c r="D59" s="89"/>
      <c r="E59" s="89"/>
      <c r="F59" s="89"/>
      <c r="G59" s="89"/>
      <c r="H59" s="89"/>
      <c r="I59" s="89"/>
      <c r="J59" s="89"/>
    </row>
    <row r="60" spans="1:10">
      <c r="A60" s="89"/>
      <c r="B60" s="89"/>
      <c r="C60" s="89"/>
      <c r="D60" s="89"/>
      <c r="E60" s="89"/>
      <c r="F60" s="89"/>
      <c r="G60" s="89"/>
      <c r="H60" s="89"/>
      <c r="I60" s="89"/>
      <c r="J60" s="89"/>
    </row>
    <row r="61" spans="1:10">
      <c r="A61" s="89"/>
      <c r="B61" s="89"/>
      <c r="C61" s="89"/>
      <c r="D61" s="89"/>
      <c r="E61" s="89"/>
      <c r="F61" s="89"/>
      <c r="G61" s="89"/>
      <c r="H61" s="89"/>
      <c r="I61" s="89"/>
      <c r="J61" s="89"/>
    </row>
    <row r="62" spans="1:10">
      <c r="A62" s="89"/>
      <c r="B62" s="89"/>
      <c r="C62" s="89"/>
      <c r="D62" s="89"/>
      <c r="E62" s="89"/>
      <c r="F62" s="89"/>
      <c r="G62" s="89"/>
      <c r="H62" s="89"/>
      <c r="I62" s="89"/>
      <c r="J62" s="89"/>
    </row>
    <row r="63" spans="1:10">
      <c r="A63" s="89"/>
      <c r="B63" s="89"/>
      <c r="C63" s="89"/>
      <c r="D63" s="89"/>
      <c r="E63" s="89"/>
      <c r="F63" s="89"/>
      <c r="G63" s="89"/>
      <c r="H63" s="89"/>
      <c r="I63" s="89"/>
      <c r="J63" s="89"/>
    </row>
    <row r="64" spans="1:10">
      <c r="A64" s="89"/>
      <c r="B64" s="89"/>
      <c r="C64" s="89"/>
      <c r="D64" s="89"/>
      <c r="E64" s="89"/>
      <c r="F64" s="89"/>
      <c r="G64" s="89"/>
      <c r="H64" s="89"/>
      <c r="I64" s="89"/>
      <c r="J64" s="89"/>
    </row>
    <row r="65" spans="1:45">
      <c r="A65" s="89"/>
      <c r="B65" s="89"/>
      <c r="C65" s="89"/>
      <c r="D65" s="89"/>
      <c r="E65" s="89"/>
      <c r="F65" s="89"/>
      <c r="G65" s="89"/>
      <c r="H65" s="89"/>
      <c r="I65" s="89"/>
      <c r="J65" s="89"/>
    </row>
    <row r="66" spans="1:45">
      <c r="A66" s="89"/>
      <c r="B66" s="89"/>
      <c r="C66" s="89"/>
      <c r="D66" s="89"/>
      <c r="E66" s="89"/>
      <c r="F66" s="89"/>
      <c r="G66" s="89"/>
      <c r="H66" s="89"/>
      <c r="I66" s="89"/>
      <c r="J66" s="89"/>
    </row>
    <row r="67" spans="1:45">
      <c r="A67" s="89"/>
      <c r="B67" s="89"/>
      <c r="C67" s="89"/>
      <c r="D67" s="89"/>
      <c r="E67" s="89"/>
      <c r="F67" s="89"/>
      <c r="G67" s="89"/>
      <c r="H67" s="89"/>
      <c r="I67" s="89"/>
      <c r="J67" s="89"/>
    </row>
    <row r="68" spans="1:45">
      <c r="A68" s="89"/>
      <c r="B68" s="89"/>
      <c r="C68" s="89"/>
      <c r="D68" s="89"/>
      <c r="E68" s="89"/>
      <c r="F68" s="89"/>
      <c r="G68" s="89"/>
      <c r="H68" s="89"/>
      <c r="I68" s="89"/>
      <c r="J68" s="89"/>
    </row>
    <row r="69" spans="1:45">
      <c r="A69" s="89"/>
      <c r="B69" s="89"/>
      <c r="C69" s="89"/>
      <c r="D69" s="89"/>
      <c r="E69" s="89"/>
      <c r="F69" s="89"/>
      <c r="G69" s="89"/>
      <c r="H69" s="89"/>
      <c r="I69" s="89"/>
      <c r="J69" s="89"/>
    </row>
    <row r="70" spans="1:45">
      <c r="A70" s="89"/>
      <c r="B70" s="89"/>
      <c r="C70" s="89"/>
      <c r="D70" s="89"/>
      <c r="E70" s="89"/>
      <c r="F70" s="89"/>
      <c r="G70" s="89"/>
      <c r="H70" s="89"/>
      <c r="I70" s="89"/>
      <c r="J70" s="89"/>
    </row>
    <row r="71" spans="1:45">
      <c r="A71" s="89"/>
      <c r="B71" s="89"/>
      <c r="C71" s="89"/>
      <c r="D71" s="89"/>
      <c r="E71" s="89"/>
      <c r="F71" s="89"/>
      <c r="G71" s="89"/>
      <c r="H71" s="89"/>
      <c r="I71" s="89"/>
      <c r="J71" s="89"/>
    </row>
    <row r="72" spans="1:45">
      <c r="A72" s="89"/>
      <c r="B72" s="89"/>
      <c r="C72" s="89"/>
      <c r="D72" s="89"/>
      <c r="E72" s="89"/>
      <c r="F72" s="89"/>
      <c r="G72" s="89"/>
      <c r="H72" s="89"/>
      <c r="I72" s="89"/>
      <c r="J72" s="89"/>
    </row>
    <row r="73" spans="1:45">
      <c r="A73" s="89"/>
      <c r="B73" s="89"/>
      <c r="C73" s="89"/>
      <c r="D73" s="89"/>
      <c r="E73" s="89"/>
      <c r="F73" s="89"/>
      <c r="G73" s="89"/>
      <c r="H73" s="89"/>
      <c r="I73" s="89"/>
      <c r="J73" s="89"/>
    </row>
    <row r="74" spans="1:45" ht="15" hidden="1" customHeight="1">
      <c r="A74" s="404" t="s">
        <v>52</v>
      </c>
      <c r="B74" s="405"/>
      <c r="C74" s="405"/>
      <c r="D74" s="405"/>
      <c r="E74" s="405"/>
      <c r="F74" s="405"/>
      <c r="G74" s="405"/>
      <c r="H74" s="405"/>
      <c r="I74" s="405"/>
      <c r="J74" s="406"/>
    </row>
    <row r="75" spans="1:45" ht="15" hidden="1" customHeight="1">
      <c r="A75" s="90" t="s">
        <v>30</v>
      </c>
      <c r="B75" s="407" t="s">
        <v>56</v>
      </c>
      <c r="C75" s="409"/>
      <c r="D75" s="408"/>
      <c r="E75" s="407" t="s">
        <v>57</v>
      </c>
      <c r="F75" s="409"/>
      <c r="G75" s="408"/>
      <c r="H75" s="407" t="s">
        <v>58</v>
      </c>
      <c r="I75" s="409"/>
      <c r="J75" s="408"/>
    </row>
    <row r="76" spans="1:45" hidden="1">
      <c r="A76" s="92">
        <v>1</v>
      </c>
      <c r="B76" s="93">
        <v>2</v>
      </c>
      <c r="C76" s="93">
        <v>3</v>
      </c>
      <c r="D76" s="93">
        <v>4</v>
      </c>
      <c r="E76" s="93">
        <v>5</v>
      </c>
      <c r="F76" s="93">
        <v>6</v>
      </c>
      <c r="G76" s="93">
        <v>7</v>
      </c>
      <c r="H76" s="106" t="s">
        <v>70</v>
      </c>
      <c r="I76" s="106" t="s">
        <v>71</v>
      </c>
      <c r="J76" s="106" t="s">
        <v>72</v>
      </c>
    </row>
    <row r="77" spans="1:45" hidden="1">
      <c r="A77" s="94"/>
      <c r="B77" s="93" t="s">
        <v>62</v>
      </c>
      <c r="C77" s="93" t="s">
        <v>51</v>
      </c>
      <c r="D77" s="93" t="s">
        <v>31</v>
      </c>
      <c r="E77" s="93" t="s">
        <v>62</v>
      </c>
      <c r="F77" s="93" t="s">
        <v>51</v>
      </c>
      <c r="G77" s="93" t="s">
        <v>31</v>
      </c>
      <c r="H77" s="93" t="s">
        <v>62</v>
      </c>
      <c r="I77" s="93" t="s">
        <v>51</v>
      </c>
      <c r="J77" s="93" t="s">
        <v>31</v>
      </c>
      <c r="AP77" s="27"/>
      <c r="AQ77" s="27"/>
      <c r="AR77" s="27"/>
      <c r="AS77" s="27"/>
    </row>
    <row r="78" spans="1:45" hidden="1">
      <c r="A78" s="95"/>
      <c r="B78" s="107">
        <v>2024</v>
      </c>
      <c r="C78" s="107">
        <v>2025</v>
      </c>
      <c r="D78" s="107">
        <v>2026</v>
      </c>
      <c r="E78" s="107">
        <v>2024</v>
      </c>
      <c r="F78" s="107">
        <v>2025</v>
      </c>
      <c r="G78" s="107">
        <v>2026</v>
      </c>
      <c r="H78" s="107">
        <v>2024</v>
      </c>
      <c r="I78" s="107">
        <v>2025</v>
      </c>
      <c r="J78" s="107">
        <v>2026</v>
      </c>
      <c r="M78" s="70" t="s">
        <v>78</v>
      </c>
      <c r="N78" s="200" t="str">
        <f t="shared" ref="N78:N90" si="4">C779</f>
        <v>2020 fakts</v>
      </c>
      <c r="O78" s="200" t="str">
        <f t="shared" ref="O78:O90" si="5">D779</f>
        <v>2021 fakts</v>
      </c>
      <c r="P78" s="200" t="str">
        <f t="shared" ref="P78:P90" si="6">E779</f>
        <v>2021 fakts</v>
      </c>
      <c r="Q78" s="201" t="str">
        <f t="shared" ref="Q78:Q90" si="7">F779</f>
        <v>2022 plāns</v>
      </c>
      <c r="R78" s="201" t="str">
        <f t="shared" ref="R78:R90" si="8">G779</f>
        <v>2022 fakts</v>
      </c>
      <c r="S78" s="201" t="str">
        <f t="shared" ref="S78:S90" si="9">H779</f>
        <v>2023 plāns</v>
      </c>
      <c r="T78" s="201" t="str">
        <f t="shared" ref="T78:W90" si="10">I779</f>
        <v>2023 fakts</v>
      </c>
      <c r="U78" s="200" t="str">
        <f>J779</f>
        <v>2024 fakts</v>
      </c>
      <c r="V78" s="200" t="str">
        <f>K779</f>
        <v>2025 fakts</v>
      </c>
      <c r="W78" s="200" t="str">
        <f>L779</f>
        <v>2026 prognoze</v>
      </c>
      <c r="X78" s="71"/>
      <c r="Y78" s="71"/>
      <c r="Z78" s="71"/>
      <c r="AA78" s="71"/>
      <c r="AP78" s="27"/>
      <c r="AQ78" s="27"/>
      <c r="AR78" s="27"/>
      <c r="AS78" s="27"/>
    </row>
    <row r="79" spans="1:45" hidden="1">
      <c r="A79" s="97" t="s">
        <v>156</v>
      </c>
      <c r="B79" s="98">
        <f ca="1">IFERROR(B6/U79*100,"")</f>
        <v>3.8309249721012217</v>
      </c>
      <c r="C79" s="98">
        <f ca="1">IFERROR(C6/V79*100,"")</f>
        <v>3.3711217307412062</v>
      </c>
      <c r="D79" s="98">
        <f ca="1">IFERROR(D6/W79*100,"")</f>
        <v>3.2980984092773795</v>
      </c>
      <c r="E79" s="98">
        <f ca="1">IFERROR(E6/U79*100,"")</f>
        <v>3.2067732300037601</v>
      </c>
      <c r="F79" s="98">
        <f ca="1">IFERROR(F6/V79*100,"")</f>
        <v>3.2845087399093442</v>
      </c>
      <c r="G79" s="98">
        <f ca="1">IFERROR(G6/W79*100,"")</f>
        <v>3.3454013327370231</v>
      </c>
      <c r="H79" s="98">
        <f ca="1">IFERROR(B79-E79,"")</f>
        <v>0.6241517420974616</v>
      </c>
      <c r="I79" s="98">
        <f ca="1">IFERROR(C79-F79,"")</f>
        <v>8.6612990831862025E-2</v>
      </c>
      <c r="J79" s="98">
        <f ca="1">IFERROR(D79-G79,"")</f>
        <v>-4.7302923459643598E-2</v>
      </c>
      <c r="M79" s="200" t="s">
        <v>156</v>
      </c>
      <c r="N79" s="71">
        <f t="shared" si="4"/>
        <v>29224340</v>
      </c>
      <c r="O79" s="71">
        <f t="shared" si="5"/>
        <v>32283779</v>
      </c>
      <c r="P79" s="71">
        <f t="shared" si="6"/>
        <v>32283779</v>
      </c>
      <c r="Q79" s="71">
        <f t="shared" si="7"/>
        <v>36103656</v>
      </c>
      <c r="R79" s="71">
        <f t="shared" si="8"/>
        <v>36088740</v>
      </c>
      <c r="S79" s="71">
        <f t="shared" si="9"/>
        <v>39072483</v>
      </c>
      <c r="T79" s="71">
        <f t="shared" si="10"/>
        <v>39564221</v>
      </c>
      <c r="U79" s="71">
        <f t="shared" si="10"/>
        <v>40652318</v>
      </c>
      <c r="V79" s="71">
        <f t="shared" si="10"/>
        <v>43026190</v>
      </c>
      <c r="W79" s="71">
        <f t="shared" si="10"/>
        <v>45538272.107807383</v>
      </c>
      <c r="X79" s="71"/>
      <c r="Y79" s="71"/>
      <c r="Z79" s="71"/>
      <c r="AA79" s="71"/>
      <c r="AP79" s="27"/>
      <c r="AQ79" s="27"/>
      <c r="AR79" s="27"/>
      <c r="AS79" s="27"/>
    </row>
    <row r="80" spans="1:45" hidden="1">
      <c r="A80" s="97" t="s">
        <v>157</v>
      </c>
      <c r="B80" s="98">
        <f t="shared" ref="B80:B90" ca="1" si="11">IFERROR(B7/U80*100,"")</f>
        <v>3.3332821365807481</v>
      </c>
      <c r="C80" s="98">
        <f t="shared" ref="C80:C90" ca="1" si="12">IFERROR(C7/V80*100,"")</f>
        <v>3.3514074846041435</v>
      </c>
      <c r="D80" s="98">
        <f t="shared" ref="D80:D90" ca="1" si="13">IFERROR(D7/W80*100,"")</f>
        <v>4.4837974224540966</v>
      </c>
      <c r="E80" s="98">
        <f t="shared" ref="E80:E90" ca="1" si="14">IFERROR(E7/U80*100,"")</f>
        <v>3.5125121499836744</v>
      </c>
      <c r="F80" s="98">
        <f t="shared" ref="F80:F90" ca="1" si="15">IFERROR(F7/V80*100,"")</f>
        <v>3.5962774045296597</v>
      </c>
      <c r="G80" s="98">
        <f t="shared" ref="G80:G90" ca="1" si="16">IFERROR(G7/W80*100,"")</f>
        <v>3.5022284447340004</v>
      </c>
      <c r="H80" s="98">
        <f t="shared" ref="H80:H90" ca="1" si="17">IFERROR(B80-E80,"")</f>
        <v>-0.17923001340292632</v>
      </c>
      <c r="I80" s="98">
        <f t="shared" ref="I80:I90" ca="1" si="18">IFERROR(C80-F80,"")</f>
        <v>-0.24486991992551621</v>
      </c>
      <c r="J80" s="98">
        <f t="shared" ref="J80:J90" ca="1" si="19">IFERROR(D80-G80,"")</f>
        <v>0.98156897772009621</v>
      </c>
      <c r="M80" s="200" t="s">
        <v>157</v>
      </c>
      <c r="N80" s="71">
        <f t="shared" si="4"/>
        <v>29224340</v>
      </c>
      <c r="O80" s="71">
        <f t="shared" si="5"/>
        <v>32283779</v>
      </c>
      <c r="P80" s="71">
        <f t="shared" si="6"/>
        <v>32283779</v>
      </c>
      <c r="Q80" s="71">
        <f t="shared" si="7"/>
        <v>36103656</v>
      </c>
      <c r="R80" s="71">
        <f t="shared" si="8"/>
        <v>36088740</v>
      </c>
      <c r="S80" s="71">
        <f t="shared" si="9"/>
        <v>39072483</v>
      </c>
      <c r="T80" s="71">
        <f t="shared" si="10"/>
        <v>39564221</v>
      </c>
      <c r="U80" s="71">
        <f t="shared" si="10"/>
        <v>40652318</v>
      </c>
      <c r="V80" s="71">
        <f t="shared" si="10"/>
        <v>43026190</v>
      </c>
      <c r="W80" s="71">
        <f t="shared" si="10"/>
        <v>45538272.107807383</v>
      </c>
      <c r="X80" s="71"/>
      <c r="Y80" s="71"/>
      <c r="Z80" s="71"/>
      <c r="AA80" s="71"/>
      <c r="AP80" s="27"/>
      <c r="AQ80" s="27"/>
      <c r="AR80" s="27"/>
      <c r="AS80" s="27"/>
    </row>
    <row r="81" spans="1:45" hidden="1">
      <c r="A81" s="97" t="s">
        <v>158</v>
      </c>
      <c r="B81" s="98">
        <f t="shared" ca="1" si="11"/>
        <v>2.911267554288048</v>
      </c>
      <c r="C81" s="98">
        <f t="shared" ca="1" si="12"/>
        <v>2.6988357509693532</v>
      </c>
      <c r="D81" s="98">
        <f t="shared" ca="1" si="13"/>
        <v>2.7269499160182153</v>
      </c>
      <c r="E81" s="98">
        <f t="shared" ca="1" si="14"/>
        <v>3.2539176880393388</v>
      </c>
      <c r="F81" s="98">
        <f t="shared" ca="1" si="15"/>
        <v>3.75191967961839</v>
      </c>
      <c r="G81" s="98">
        <f t="shared" ca="1" si="16"/>
        <v>3.6468811817637552</v>
      </c>
      <c r="H81" s="98">
        <f t="shared" ca="1" si="17"/>
        <v>-0.34265013375129083</v>
      </c>
      <c r="I81" s="98">
        <f t="shared" ca="1" si="18"/>
        <v>-1.0530839286490368</v>
      </c>
      <c r="J81" s="98">
        <f t="shared" ca="1" si="19"/>
        <v>-0.91993126574553985</v>
      </c>
      <c r="M81" s="200" t="s">
        <v>158</v>
      </c>
      <c r="N81" s="71">
        <f t="shared" si="4"/>
        <v>29224340</v>
      </c>
      <c r="O81" s="71">
        <f t="shared" si="5"/>
        <v>32283779</v>
      </c>
      <c r="P81" s="71">
        <f t="shared" si="6"/>
        <v>32283779</v>
      </c>
      <c r="Q81" s="71">
        <f t="shared" si="7"/>
        <v>36103656</v>
      </c>
      <c r="R81" s="71">
        <f t="shared" si="8"/>
        <v>36088740</v>
      </c>
      <c r="S81" s="71">
        <f t="shared" si="9"/>
        <v>39072483</v>
      </c>
      <c r="T81" s="71">
        <f t="shared" si="10"/>
        <v>39564221</v>
      </c>
      <c r="U81" s="71">
        <f t="shared" si="10"/>
        <v>40652318</v>
      </c>
      <c r="V81" s="71">
        <f t="shared" si="10"/>
        <v>43026190</v>
      </c>
      <c r="W81" s="71">
        <f t="shared" si="10"/>
        <v>45538272.107807383</v>
      </c>
      <c r="X81" s="71"/>
      <c r="Y81" s="71"/>
      <c r="Z81" s="71"/>
      <c r="AA81" s="71"/>
      <c r="AP81" s="27"/>
      <c r="AQ81" s="27"/>
      <c r="AR81" s="27"/>
      <c r="AS81" s="27"/>
    </row>
    <row r="82" spans="1:45" hidden="1">
      <c r="A82" s="97" t="s">
        <v>159</v>
      </c>
      <c r="B82" s="98">
        <f t="shared" ca="1" si="11"/>
        <v>3.4823294553584869</v>
      </c>
      <c r="C82" s="98">
        <f t="shared" ca="1" si="12"/>
        <v>3.2467222893777001</v>
      </c>
      <c r="D82" s="98">
        <f t="shared" ca="1" si="13"/>
        <v>3.1392408754896692</v>
      </c>
      <c r="E82" s="98">
        <f t="shared" ca="1" si="14"/>
        <v>3.8209470416914457</v>
      </c>
      <c r="F82" s="98">
        <f t="shared" ca="1" si="15"/>
        <v>3.8423297414900102</v>
      </c>
      <c r="G82" s="98">
        <f t="shared" ca="1" si="16"/>
        <v>3.4554286036035631</v>
      </c>
      <c r="H82" s="98">
        <f t="shared" ca="1" si="17"/>
        <v>-0.3386175863329588</v>
      </c>
      <c r="I82" s="98">
        <f t="shared" ca="1" si="18"/>
        <v>-0.59560745211231003</v>
      </c>
      <c r="J82" s="98">
        <f t="shared" ca="1" si="19"/>
        <v>-0.31618772811389384</v>
      </c>
      <c r="M82" s="200" t="s">
        <v>159</v>
      </c>
      <c r="N82" s="71">
        <f t="shared" si="4"/>
        <v>29224340</v>
      </c>
      <c r="O82" s="71">
        <f t="shared" si="5"/>
        <v>32283779</v>
      </c>
      <c r="P82" s="71">
        <f t="shared" si="6"/>
        <v>32283779</v>
      </c>
      <c r="Q82" s="71">
        <f t="shared" si="7"/>
        <v>36103656</v>
      </c>
      <c r="R82" s="71">
        <f t="shared" si="8"/>
        <v>36088740</v>
      </c>
      <c r="S82" s="71">
        <f t="shared" si="9"/>
        <v>39072483</v>
      </c>
      <c r="T82" s="71">
        <f t="shared" si="10"/>
        <v>39564221</v>
      </c>
      <c r="U82" s="71">
        <f t="shared" si="10"/>
        <v>40652318</v>
      </c>
      <c r="V82" s="71">
        <f t="shared" si="10"/>
        <v>43026190</v>
      </c>
      <c r="W82" s="71">
        <f t="shared" si="10"/>
        <v>45538272.107807383</v>
      </c>
      <c r="X82" s="71"/>
      <c r="Y82" s="71"/>
      <c r="Z82" s="71"/>
      <c r="AA82" s="71"/>
      <c r="AP82" s="27"/>
      <c r="AQ82" s="27"/>
      <c r="AR82" s="27"/>
      <c r="AS82" s="27"/>
    </row>
    <row r="83" spans="1:45" hidden="1">
      <c r="A83" s="97" t="s">
        <v>160</v>
      </c>
      <c r="B83" s="98">
        <f t="shared" ca="1" si="11"/>
        <v>4.2109781907147337</v>
      </c>
      <c r="C83" s="98">
        <f t="shared" ca="1" si="12"/>
        <v>4.1193758359733907</v>
      </c>
      <c r="D83" s="98">
        <f t="shared" ca="1" si="13"/>
        <v>4.1515252830066736</v>
      </c>
      <c r="E83" s="98">
        <f t="shared" ca="1" si="14"/>
        <v>3.3517008820997605</v>
      </c>
      <c r="F83" s="98">
        <f t="shared" ca="1" si="15"/>
        <v>3.2881490901239445</v>
      </c>
      <c r="G83" s="98">
        <f t="shared" ca="1" si="16"/>
        <v>3.4108297967978971</v>
      </c>
      <c r="H83" s="98">
        <f t="shared" ca="1" si="17"/>
        <v>0.8592773086149732</v>
      </c>
      <c r="I83" s="98">
        <f t="shared" ca="1" si="18"/>
        <v>0.83122674584944622</v>
      </c>
      <c r="J83" s="98">
        <f t="shared" ca="1" si="19"/>
        <v>0.74069548620877645</v>
      </c>
      <c r="M83" s="200" t="s">
        <v>160</v>
      </c>
      <c r="N83" s="71">
        <f t="shared" si="4"/>
        <v>29224340</v>
      </c>
      <c r="O83" s="71">
        <f t="shared" si="5"/>
        <v>32283779</v>
      </c>
      <c r="P83" s="71">
        <f t="shared" si="6"/>
        <v>32283779</v>
      </c>
      <c r="Q83" s="71">
        <f t="shared" si="7"/>
        <v>36103656</v>
      </c>
      <c r="R83" s="71">
        <f t="shared" si="8"/>
        <v>36088740</v>
      </c>
      <c r="S83" s="71">
        <f t="shared" si="9"/>
        <v>39072483</v>
      </c>
      <c r="T83" s="71">
        <f t="shared" si="10"/>
        <v>39564221</v>
      </c>
      <c r="U83" s="71">
        <f t="shared" si="10"/>
        <v>40652318</v>
      </c>
      <c r="V83" s="71">
        <f t="shared" si="10"/>
        <v>43026190</v>
      </c>
      <c r="W83" s="71">
        <f t="shared" si="10"/>
        <v>45538272.107807383</v>
      </c>
      <c r="X83" s="71"/>
      <c r="Y83" s="71"/>
      <c r="Z83" s="71"/>
      <c r="AA83" s="71"/>
      <c r="AP83" s="27"/>
      <c r="AQ83" s="27"/>
      <c r="AR83" s="27"/>
      <c r="AS83" s="27"/>
    </row>
    <row r="84" spans="1:45" hidden="1">
      <c r="A84" s="97" t="s">
        <v>161</v>
      </c>
      <c r="B84" s="98">
        <f t="shared" ca="1" si="11"/>
        <v>4.4023030199655526</v>
      </c>
      <c r="C84" s="98">
        <f t="shared" ca="1" si="12"/>
        <v>3.968956389120208</v>
      </c>
      <c r="D84" s="98">
        <f t="shared" ca="1" si="13"/>
        <v>3.8703764271675682</v>
      </c>
      <c r="E84" s="98">
        <f t="shared" ca="1" si="14"/>
        <v>3.5394592455957863</v>
      </c>
      <c r="F84" s="98">
        <f t="shared" ca="1" si="15"/>
        <v>3.5813765615779634</v>
      </c>
      <c r="G84" s="98">
        <f t="shared" ca="1" si="16"/>
        <v>3.7117724844685314</v>
      </c>
      <c r="H84" s="98">
        <f t="shared" ca="1" si="17"/>
        <v>0.86284377436976634</v>
      </c>
      <c r="I84" s="98">
        <f t="shared" ca="1" si="18"/>
        <v>0.38757982754224463</v>
      </c>
      <c r="J84" s="98">
        <f t="shared" ca="1" si="19"/>
        <v>0.15860394269903688</v>
      </c>
      <c r="M84" s="200" t="s">
        <v>161</v>
      </c>
      <c r="N84" s="71">
        <f t="shared" si="4"/>
        <v>29224340</v>
      </c>
      <c r="O84" s="71">
        <f t="shared" si="5"/>
        <v>32283779</v>
      </c>
      <c r="P84" s="71">
        <f t="shared" si="6"/>
        <v>32283779</v>
      </c>
      <c r="Q84" s="71">
        <f t="shared" si="7"/>
        <v>36103656</v>
      </c>
      <c r="R84" s="71">
        <f t="shared" si="8"/>
        <v>36088740</v>
      </c>
      <c r="S84" s="71">
        <f t="shared" si="9"/>
        <v>39072483</v>
      </c>
      <c r="T84" s="71">
        <f t="shared" si="10"/>
        <v>39564221</v>
      </c>
      <c r="U84" s="71">
        <f t="shared" si="10"/>
        <v>40652318</v>
      </c>
      <c r="V84" s="71">
        <f t="shared" si="10"/>
        <v>43026190</v>
      </c>
      <c r="W84" s="71">
        <f t="shared" si="10"/>
        <v>45538272.107807383</v>
      </c>
      <c r="X84" s="71"/>
      <c r="Y84" s="71"/>
      <c r="Z84" s="71"/>
      <c r="AA84" s="71"/>
      <c r="AP84" s="27"/>
      <c r="AQ84" s="27"/>
      <c r="AR84" s="27"/>
      <c r="AS84" s="27"/>
    </row>
    <row r="85" spans="1:45" hidden="1">
      <c r="A85" s="97" t="s">
        <v>162</v>
      </c>
      <c r="B85" s="98">
        <f t="shared" ca="1" si="11"/>
        <v>3.6374950894559084</v>
      </c>
      <c r="C85" s="98">
        <f t="shared" ca="1" si="12"/>
        <v>3.3082611892895999</v>
      </c>
      <c r="D85" s="98">
        <f t="shared" ca="1" si="13"/>
        <v>3.4124519685795844</v>
      </c>
      <c r="E85" s="98">
        <f t="shared" ca="1" si="14"/>
        <v>3.6719263241028499</v>
      </c>
      <c r="F85" s="98">
        <f t="shared" ca="1" si="15"/>
        <v>3.6961276492294517</v>
      </c>
      <c r="G85" s="98">
        <f t="shared" ca="1" si="16"/>
        <v>3.8977649630577096</v>
      </c>
      <c r="H85" s="98">
        <f t="shared" ca="1" si="17"/>
        <v>-3.4431234646941533E-2</v>
      </c>
      <c r="I85" s="98">
        <f t="shared" ca="1" si="18"/>
        <v>-0.3878664599398518</v>
      </c>
      <c r="J85" s="98">
        <f t="shared" ca="1" si="19"/>
        <v>-0.48531299447812515</v>
      </c>
      <c r="M85" s="200" t="s">
        <v>162</v>
      </c>
      <c r="N85" s="71">
        <f t="shared" si="4"/>
        <v>29224340</v>
      </c>
      <c r="O85" s="71">
        <f t="shared" si="5"/>
        <v>32283779</v>
      </c>
      <c r="P85" s="71">
        <f t="shared" si="6"/>
        <v>32283779</v>
      </c>
      <c r="Q85" s="71">
        <f t="shared" si="7"/>
        <v>36103656</v>
      </c>
      <c r="R85" s="71">
        <f t="shared" si="8"/>
        <v>36088740</v>
      </c>
      <c r="S85" s="71">
        <f t="shared" si="9"/>
        <v>39072483</v>
      </c>
      <c r="T85" s="71">
        <f t="shared" si="10"/>
        <v>39564221</v>
      </c>
      <c r="U85" s="71">
        <f t="shared" si="10"/>
        <v>40652318</v>
      </c>
      <c r="V85" s="71">
        <f t="shared" si="10"/>
        <v>43026190</v>
      </c>
      <c r="W85" s="71">
        <f t="shared" si="10"/>
        <v>45538272.107807383</v>
      </c>
      <c r="X85" s="71"/>
      <c r="Y85" s="71"/>
      <c r="Z85" s="71"/>
      <c r="AA85" s="71"/>
      <c r="AP85" s="27"/>
      <c r="AQ85" s="27"/>
      <c r="AR85" s="27"/>
      <c r="AS85" s="27"/>
    </row>
    <row r="86" spans="1:45" hidden="1">
      <c r="A86" s="97" t="s">
        <v>163</v>
      </c>
      <c r="B86" s="98">
        <f t="shared" ca="1" si="11"/>
        <v>3.3815862554258271</v>
      </c>
      <c r="C86" s="98">
        <f t="shared" ca="1" si="12"/>
        <v>3.7430049767362541</v>
      </c>
      <c r="D86" s="98" t="str">
        <f t="shared" ca="1" si="13"/>
        <v/>
      </c>
      <c r="E86" s="98">
        <f t="shared" ca="1" si="14"/>
        <v>3.2338170408880527</v>
      </c>
      <c r="F86" s="98">
        <f t="shared" ca="1" si="15"/>
        <v>3.3643292655008485</v>
      </c>
      <c r="G86" s="98" t="str">
        <f t="shared" ca="1" si="16"/>
        <v/>
      </c>
      <c r="H86" s="98">
        <f t="shared" ca="1" si="17"/>
        <v>0.14776921453777447</v>
      </c>
      <c r="I86" s="98">
        <f t="shared" ca="1" si="18"/>
        <v>0.37867571123540555</v>
      </c>
      <c r="J86" s="98" t="str">
        <f t="shared" ca="1" si="19"/>
        <v/>
      </c>
      <c r="M86" s="200" t="s">
        <v>163</v>
      </c>
      <c r="N86" s="71">
        <f t="shared" si="4"/>
        <v>29224340</v>
      </c>
      <c r="O86" s="71">
        <f t="shared" si="5"/>
        <v>32283779</v>
      </c>
      <c r="P86" s="71">
        <f t="shared" si="6"/>
        <v>32283779</v>
      </c>
      <c r="Q86" s="71">
        <f t="shared" si="7"/>
        <v>36103656</v>
      </c>
      <c r="R86" s="71">
        <f t="shared" si="8"/>
        <v>36088740</v>
      </c>
      <c r="S86" s="71">
        <f t="shared" si="9"/>
        <v>39072483</v>
      </c>
      <c r="T86" s="71">
        <f t="shared" si="10"/>
        <v>39564221</v>
      </c>
      <c r="U86" s="71">
        <f t="shared" si="10"/>
        <v>40652318</v>
      </c>
      <c r="V86" s="71">
        <f t="shared" si="10"/>
        <v>43026190</v>
      </c>
      <c r="W86" s="71">
        <f t="shared" si="10"/>
        <v>45538272.107807383</v>
      </c>
      <c r="X86" s="71"/>
      <c r="Y86" s="71"/>
      <c r="Z86" s="71"/>
      <c r="AA86" s="71"/>
      <c r="AP86" s="27"/>
      <c r="AQ86" s="27"/>
      <c r="AR86" s="27"/>
      <c r="AS86" s="27"/>
    </row>
    <row r="87" spans="1:45" hidden="1">
      <c r="A87" s="97" t="s">
        <v>164</v>
      </c>
      <c r="B87" s="98">
        <f t="shared" ca="1" si="11"/>
        <v>3.1032820982065559</v>
      </c>
      <c r="C87" s="98">
        <f t="shared" ca="1" si="12"/>
        <v>3.0078306515171382</v>
      </c>
      <c r="D87" s="98" t="str">
        <f t="shared" ca="1" si="13"/>
        <v/>
      </c>
      <c r="E87" s="98">
        <f t="shared" ca="1" si="14"/>
        <v>3.2090432555408048</v>
      </c>
      <c r="F87" s="98">
        <f t="shared" ca="1" si="15"/>
        <v>3.5777094230281636</v>
      </c>
      <c r="G87" s="98" t="str">
        <f t="shared" ca="1" si="16"/>
        <v/>
      </c>
      <c r="H87" s="98">
        <f t="shared" ca="1" si="17"/>
        <v>-0.10576115733424896</v>
      </c>
      <c r="I87" s="98">
        <f t="shared" ca="1" si="18"/>
        <v>-0.56987877151102539</v>
      </c>
      <c r="J87" s="98" t="str">
        <f t="shared" ca="1" si="19"/>
        <v/>
      </c>
      <c r="M87" s="200" t="s">
        <v>164</v>
      </c>
      <c r="N87" s="71">
        <f t="shared" si="4"/>
        <v>29224340</v>
      </c>
      <c r="O87" s="71">
        <f t="shared" si="5"/>
        <v>32283779</v>
      </c>
      <c r="P87" s="71">
        <f t="shared" si="6"/>
        <v>32283779</v>
      </c>
      <c r="Q87" s="71">
        <f t="shared" si="7"/>
        <v>36103656</v>
      </c>
      <c r="R87" s="71">
        <f t="shared" si="8"/>
        <v>36088740</v>
      </c>
      <c r="S87" s="71">
        <f t="shared" si="9"/>
        <v>39072483</v>
      </c>
      <c r="T87" s="71">
        <f t="shared" si="10"/>
        <v>39564221</v>
      </c>
      <c r="U87" s="71">
        <f t="shared" si="10"/>
        <v>40652318</v>
      </c>
      <c r="V87" s="71">
        <f t="shared" si="10"/>
        <v>43026190</v>
      </c>
      <c r="W87" s="71">
        <f t="shared" si="10"/>
        <v>45538272.107807383</v>
      </c>
      <c r="X87" s="71"/>
      <c r="Y87" s="71"/>
      <c r="Z87" s="71"/>
      <c r="AA87" s="71"/>
      <c r="AP87" s="27"/>
      <c r="AQ87" s="27"/>
      <c r="AR87" s="27"/>
      <c r="AS87" s="27"/>
    </row>
    <row r="88" spans="1:45" hidden="1">
      <c r="A88" s="97" t="s">
        <v>165</v>
      </c>
      <c r="B88" s="98">
        <f t="shared" ca="1" si="11"/>
        <v>3.1553728375341308</v>
      </c>
      <c r="C88" s="98">
        <f t="shared" ca="1" si="12"/>
        <v>3.1410557895086679</v>
      </c>
      <c r="D88" s="98" t="str">
        <f t="shared" ca="1" si="13"/>
        <v/>
      </c>
      <c r="E88" s="98">
        <f t="shared" ca="1" si="14"/>
        <v>3.8821087520765691</v>
      </c>
      <c r="F88" s="98">
        <f t="shared" ca="1" si="15"/>
        <v>3.8579002997941494</v>
      </c>
      <c r="G88" s="98" t="str">
        <f t="shared" ca="1" si="16"/>
        <v/>
      </c>
      <c r="H88" s="98">
        <f t="shared" ca="1" si="17"/>
        <v>-0.72673591454243835</v>
      </c>
      <c r="I88" s="98">
        <f t="shared" ca="1" si="18"/>
        <v>-0.71684451028548146</v>
      </c>
      <c r="J88" s="98" t="str">
        <f t="shared" ca="1" si="19"/>
        <v/>
      </c>
      <c r="M88" s="200" t="s">
        <v>165</v>
      </c>
      <c r="N88" s="71">
        <f t="shared" si="4"/>
        <v>29224340</v>
      </c>
      <c r="O88" s="71">
        <f t="shared" si="5"/>
        <v>32283779</v>
      </c>
      <c r="P88" s="71">
        <f t="shared" si="6"/>
        <v>32283779</v>
      </c>
      <c r="Q88" s="71">
        <f t="shared" si="7"/>
        <v>36103656</v>
      </c>
      <c r="R88" s="71">
        <f t="shared" si="8"/>
        <v>36088740</v>
      </c>
      <c r="S88" s="71">
        <f t="shared" si="9"/>
        <v>39072483</v>
      </c>
      <c r="T88" s="71">
        <f t="shared" si="10"/>
        <v>39564221</v>
      </c>
      <c r="U88" s="71">
        <f t="shared" si="10"/>
        <v>40652318</v>
      </c>
      <c r="V88" s="71">
        <f t="shared" si="10"/>
        <v>43026190</v>
      </c>
      <c r="W88" s="71">
        <f t="shared" si="10"/>
        <v>45538272.107807383</v>
      </c>
      <c r="X88" s="71"/>
      <c r="Y88" s="71"/>
      <c r="Z88" s="71"/>
      <c r="AA88" s="71"/>
      <c r="AP88" s="27"/>
      <c r="AQ88" s="27"/>
      <c r="AR88" s="27"/>
      <c r="AS88" s="27"/>
    </row>
    <row r="89" spans="1:45" hidden="1">
      <c r="A89" s="97" t="s">
        <v>166</v>
      </c>
      <c r="B89" s="98">
        <f t="shared" ca="1" si="11"/>
        <v>3.1111350968965663</v>
      </c>
      <c r="C89" s="98">
        <f t="shared" ca="1" si="12"/>
        <v>3.1037249940094669</v>
      </c>
      <c r="D89" s="98" t="str">
        <f t="shared" ca="1" si="13"/>
        <v/>
      </c>
      <c r="E89" s="98">
        <f t="shared" ca="1" si="14"/>
        <v>3.7068094444208604</v>
      </c>
      <c r="F89" s="98">
        <f t="shared" ca="1" si="15"/>
        <v>3.6191844827534152</v>
      </c>
      <c r="G89" s="98" t="str">
        <f t="shared" ca="1" si="16"/>
        <v/>
      </c>
      <c r="H89" s="98">
        <f t="shared" ca="1" si="17"/>
        <v>-0.59567434752429405</v>
      </c>
      <c r="I89" s="98">
        <f t="shared" ca="1" si="18"/>
        <v>-0.51545948874394831</v>
      </c>
      <c r="J89" s="98" t="str">
        <f t="shared" ca="1" si="19"/>
        <v/>
      </c>
      <c r="M89" s="200" t="s">
        <v>166</v>
      </c>
      <c r="N89" s="71">
        <f t="shared" si="4"/>
        <v>29224340</v>
      </c>
      <c r="O89" s="71">
        <f t="shared" si="5"/>
        <v>32283779</v>
      </c>
      <c r="P89" s="71">
        <f t="shared" si="6"/>
        <v>32283779</v>
      </c>
      <c r="Q89" s="71">
        <f t="shared" si="7"/>
        <v>36103656</v>
      </c>
      <c r="R89" s="71">
        <f t="shared" si="8"/>
        <v>36088740</v>
      </c>
      <c r="S89" s="71">
        <f t="shared" si="9"/>
        <v>39072483</v>
      </c>
      <c r="T89" s="71">
        <f t="shared" si="10"/>
        <v>39564221</v>
      </c>
      <c r="U89" s="71">
        <f t="shared" si="10"/>
        <v>40652318</v>
      </c>
      <c r="V89" s="71">
        <f t="shared" si="10"/>
        <v>43026190</v>
      </c>
      <c r="W89" s="71">
        <f t="shared" si="10"/>
        <v>45538272.107807383</v>
      </c>
      <c r="X89" s="71"/>
      <c r="Y89" s="71"/>
      <c r="Z89" s="71"/>
      <c r="AA89" s="71"/>
      <c r="AP89" s="27"/>
      <c r="AQ89" s="27"/>
      <c r="AR89" s="27"/>
      <c r="AS89" s="27"/>
    </row>
    <row r="90" spans="1:45" hidden="1">
      <c r="A90" s="97" t="s">
        <v>167</v>
      </c>
      <c r="B90" s="98">
        <f t="shared" ca="1" si="11"/>
        <v>3.6165008671830221</v>
      </c>
      <c r="C90" s="98">
        <f t="shared" ca="1" si="12"/>
        <v>4.2580873393623788</v>
      </c>
      <c r="D90" s="98" t="str">
        <f t="shared" ca="1" si="13"/>
        <v/>
      </c>
      <c r="E90" s="98">
        <f t="shared" ca="1" si="14"/>
        <v>5.5908448000431346</v>
      </c>
      <c r="F90" s="98">
        <f t="shared" ca="1" si="15"/>
        <v>5.9042401709284427</v>
      </c>
      <c r="G90" s="98" t="str">
        <f t="shared" ca="1" si="16"/>
        <v/>
      </c>
      <c r="H90" s="98">
        <f t="shared" ca="1" si="17"/>
        <v>-1.9743439328601124</v>
      </c>
      <c r="I90" s="98">
        <f t="shared" ca="1" si="18"/>
        <v>-1.6461528315660638</v>
      </c>
      <c r="J90" s="98" t="str">
        <f t="shared" ca="1" si="19"/>
        <v/>
      </c>
      <c r="M90" s="200" t="s">
        <v>167</v>
      </c>
      <c r="N90" s="71">
        <f t="shared" si="4"/>
        <v>29224340</v>
      </c>
      <c r="O90" s="71">
        <f t="shared" si="5"/>
        <v>32283779</v>
      </c>
      <c r="P90" s="71">
        <f t="shared" si="6"/>
        <v>32283779</v>
      </c>
      <c r="Q90" s="71">
        <f t="shared" si="7"/>
        <v>36103656</v>
      </c>
      <c r="R90" s="71">
        <f t="shared" si="8"/>
        <v>36088740</v>
      </c>
      <c r="S90" s="71">
        <f t="shared" si="9"/>
        <v>39072483</v>
      </c>
      <c r="T90" s="71">
        <f t="shared" si="10"/>
        <v>39564221</v>
      </c>
      <c r="U90" s="71">
        <f t="shared" si="10"/>
        <v>40652318</v>
      </c>
      <c r="V90" s="71">
        <f t="shared" si="10"/>
        <v>43026190</v>
      </c>
      <c r="W90" s="71">
        <f t="shared" si="10"/>
        <v>45538272.107807383</v>
      </c>
      <c r="AP90" s="27"/>
      <c r="AQ90" s="27"/>
      <c r="AR90" s="27"/>
      <c r="AS90" s="27"/>
    </row>
    <row r="91" spans="1:45" hidden="1">
      <c r="A91" s="108" t="s">
        <v>168</v>
      </c>
      <c r="B91" s="98">
        <f t="shared" ref="B91:G91" ca="1" si="20">SUM(B79:B90)</f>
        <v>42.176457573710799</v>
      </c>
      <c r="C91" s="98">
        <f t="shared" ca="1" si="20"/>
        <v>41.318384421209508</v>
      </c>
      <c r="D91" s="98">
        <f t="shared" ca="1" si="20"/>
        <v>25.082440301993188</v>
      </c>
      <c r="E91" s="98">
        <f t="shared" ca="1" si="20"/>
        <v>43.979859854486044</v>
      </c>
      <c r="F91" s="98">
        <f t="shared" ca="1" si="20"/>
        <v>45.36405250848378</v>
      </c>
      <c r="G91" s="98">
        <f t="shared" ca="1" si="20"/>
        <v>24.970306807162483</v>
      </c>
      <c r="H91" s="98" t="s">
        <v>61</v>
      </c>
      <c r="I91" s="98" t="s">
        <v>61</v>
      </c>
      <c r="J91" s="98" t="s">
        <v>61</v>
      </c>
      <c r="AP91" s="27"/>
      <c r="AQ91" s="27"/>
      <c r="AR91" s="27"/>
      <c r="AS91" s="27"/>
    </row>
    <row r="92" spans="1:45" hidden="1">
      <c r="A92" s="89"/>
      <c r="B92" s="89"/>
      <c r="C92" s="89"/>
      <c r="D92" s="89"/>
      <c r="E92" s="89"/>
      <c r="F92" s="89"/>
      <c r="G92" s="89"/>
      <c r="H92" s="89"/>
      <c r="I92" s="89"/>
      <c r="J92" s="89"/>
      <c r="AP92" s="27"/>
      <c r="AQ92" s="27"/>
      <c r="AR92" s="27"/>
      <c r="AS92" s="27"/>
    </row>
    <row r="93" spans="1:45" hidden="1">
      <c r="A93" s="89"/>
      <c r="B93" s="89"/>
      <c r="C93" s="89"/>
      <c r="D93" s="89"/>
      <c r="E93" s="89"/>
      <c r="F93" s="89"/>
      <c r="G93" s="89"/>
      <c r="H93" s="89"/>
      <c r="I93" s="89"/>
      <c r="J93" s="89"/>
      <c r="AP93" s="27"/>
      <c r="AQ93" s="27"/>
      <c r="AR93" s="27"/>
      <c r="AS93" s="27"/>
    </row>
    <row r="94" spans="1:45" hidden="1">
      <c r="A94" s="89"/>
      <c r="B94" s="89"/>
      <c r="C94" s="89"/>
      <c r="D94" s="89"/>
      <c r="E94" s="89"/>
      <c r="F94" s="89"/>
      <c r="G94" s="89"/>
      <c r="H94" s="89"/>
      <c r="I94" s="89"/>
      <c r="J94" s="89"/>
      <c r="AP94" s="27"/>
      <c r="AQ94" s="27"/>
      <c r="AR94" s="27"/>
      <c r="AS94" s="27"/>
    </row>
    <row r="95" spans="1:45" hidden="1">
      <c r="A95" s="89"/>
      <c r="B95" s="89"/>
      <c r="C95" s="89"/>
      <c r="D95" s="89"/>
      <c r="E95" s="89"/>
      <c r="F95" s="89"/>
      <c r="G95" s="89"/>
      <c r="H95" s="89"/>
      <c r="I95" s="89"/>
      <c r="J95" s="89"/>
      <c r="AP95" s="27"/>
      <c r="AQ95" s="27"/>
      <c r="AR95" s="27"/>
      <c r="AS95" s="27"/>
    </row>
    <row r="96" spans="1:45" hidden="1">
      <c r="A96" s="89"/>
      <c r="B96" s="89"/>
      <c r="C96" s="89"/>
      <c r="D96" s="89"/>
      <c r="E96" s="89"/>
      <c r="F96" s="89"/>
      <c r="G96" s="89"/>
      <c r="H96" s="89"/>
      <c r="I96" s="89"/>
      <c r="J96" s="89"/>
      <c r="AP96" s="27"/>
      <c r="AQ96" s="27"/>
      <c r="AR96" s="27"/>
      <c r="AS96" s="27"/>
    </row>
    <row r="97" spans="1:45" hidden="1">
      <c r="A97" s="89"/>
      <c r="B97" s="89"/>
      <c r="C97" s="89"/>
      <c r="D97" s="89"/>
      <c r="E97" s="89"/>
      <c r="F97" s="89"/>
      <c r="G97" s="89"/>
      <c r="H97" s="89"/>
      <c r="I97" s="89"/>
      <c r="J97" s="89"/>
      <c r="AP97" s="27"/>
      <c r="AQ97" s="27"/>
      <c r="AR97" s="27"/>
      <c r="AS97" s="27"/>
    </row>
    <row r="98" spans="1:45" hidden="1">
      <c r="A98" s="89"/>
      <c r="B98" s="89"/>
      <c r="C98" s="89"/>
      <c r="D98" s="89"/>
      <c r="E98" s="89"/>
      <c r="F98" s="89"/>
      <c r="G98" s="89"/>
      <c r="H98" s="89"/>
      <c r="I98" s="89"/>
      <c r="J98" s="89"/>
    </row>
    <row r="99" spans="1:45" hidden="1">
      <c r="A99" s="89"/>
      <c r="B99" s="89"/>
      <c r="C99" s="89"/>
      <c r="D99" s="89"/>
      <c r="E99" s="89"/>
      <c r="F99" s="89"/>
      <c r="G99" s="89"/>
      <c r="H99" s="89"/>
      <c r="I99" s="89"/>
      <c r="J99" s="89"/>
    </row>
    <row r="100" spans="1:45" hidden="1">
      <c r="A100" s="89"/>
      <c r="B100" s="89"/>
      <c r="C100" s="89"/>
      <c r="D100" s="89"/>
      <c r="E100" s="89"/>
      <c r="F100" s="89"/>
      <c r="G100" s="89"/>
      <c r="H100" s="89"/>
      <c r="I100" s="89"/>
      <c r="J100" s="89"/>
    </row>
    <row r="101" spans="1:45" hidden="1">
      <c r="A101" s="89"/>
      <c r="B101" s="89"/>
      <c r="C101" s="89"/>
      <c r="D101" s="89"/>
      <c r="E101" s="89"/>
      <c r="F101" s="89"/>
      <c r="G101" s="89"/>
      <c r="H101" s="89"/>
      <c r="I101" s="89"/>
      <c r="J101" s="89"/>
    </row>
    <row r="102" spans="1:45" hidden="1">
      <c r="A102" s="89"/>
      <c r="B102" s="89"/>
      <c r="C102" s="89"/>
      <c r="D102" s="89"/>
      <c r="E102" s="89"/>
      <c r="F102" s="89"/>
      <c r="G102" s="89"/>
      <c r="H102" s="89"/>
      <c r="I102" s="89"/>
      <c r="J102" s="89"/>
    </row>
    <row r="103" spans="1:45" hidden="1">
      <c r="A103" s="89"/>
      <c r="B103" s="89"/>
      <c r="C103" s="89"/>
      <c r="D103" s="89"/>
      <c r="E103" s="89"/>
      <c r="F103" s="89"/>
      <c r="G103" s="89"/>
      <c r="H103" s="89"/>
      <c r="I103" s="89"/>
      <c r="J103" s="89"/>
    </row>
    <row r="104" spans="1:45" hidden="1">
      <c r="A104" s="89"/>
      <c r="B104" s="89"/>
      <c r="C104" s="89"/>
      <c r="D104" s="89"/>
      <c r="E104" s="89"/>
      <c r="F104" s="89"/>
      <c r="G104" s="89"/>
      <c r="H104" s="89"/>
      <c r="I104" s="89"/>
      <c r="J104" s="89"/>
    </row>
    <row r="105" spans="1:45" hidden="1">
      <c r="A105" s="89"/>
      <c r="B105" s="89"/>
      <c r="C105" s="89"/>
      <c r="D105" s="89"/>
      <c r="E105" s="89"/>
      <c r="F105" s="89"/>
      <c r="G105" s="89"/>
      <c r="H105" s="89"/>
      <c r="I105" s="89"/>
      <c r="J105" s="89"/>
    </row>
    <row r="106" spans="1:45" hidden="1">
      <c r="A106" s="89"/>
      <c r="B106" s="89"/>
      <c r="C106" s="89"/>
      <c r="D106" s="89"/>
      <c r="E106" s="89"/>
      <c r="F106" s="89"/>
      <c r="G106" s="89"/>
      <c r="H106" s="89"/>
      <c r="I106" s="89"/>
      <c r="J106" s="89"/>
    </row>
    <row r="107" spans="1:45" hidden="1">
      <c r="A107" s="89"/>
      <c r="B107" s="89"/>
      <c r="C107" s="89"/>
      <c r="D107" s="89"/>
      <c r="E107" s="89"/>
      <c r="F107" s="89"/>
      <c r="G107" s="89"/>
      <c r="H107" s="89"/>
      <c r="I107" s="89"/>
      <c r="J107" s="89"/>
    </row>
    <row r="108" spans="1:45" hidden="1">
      <c r="A108" s="89"/>
      <c r="B108" s="89"/>
      <c r="C108" s="89"/>
      <c r="D108" s="89"/>
      <c r="E108" s="89"/>
      <c r="F108" s="89"/>
      <c r="G108" s="89"/>
      <c r="H108" s="89"/>
      <c r="I108" s="89"/>
      <c r="J108" s="89"/>
    </row>
    <row r="109" spans="1:45" hidden="1">
      <c r="A109" s="89"/>
      <c r="B109" s="89"/>
      <c r="C109" s="89"/>
      <c r="D109" s="89"/>
      <c r="E109" s="89"/>
      <c r="F109" s="89"/>
      <c r="G109" s="89"/>
      <c r="H109" s="89"/>
      <c r="I109" s="89"/>
      <c r="J109" s="89"/>
    </row>
    <row r="110" spans="1:45" hidden="1">
      <c r="A110" s="89"/>
      <c r="B110" s="89"/>
      <c r="C110" s="89"/>
      <c r="D110" s="89"/>
      <c r="E110" s="89"/>
      <c r="F110" s="89"/>
      <c r="G110" s="89"/>
      <c r="H110" s="89"/>
      <c r="I110" s="89"/>
      <c r="J110" s="89"/>
    </row>
    <row r="111" spans="1:45" hidden="1">
      <c r="A111" s="89"/>
      <c r="B111" s="89"/>
      <c r="C111" s="89"/>
      <c r="D111" s="89"/>
      <c r="E111" s="89"/>
      <c r="F111" s="89"/>
      <c r="G111" s="89"/>
      <c r="H111" s="89"/>
      <c r="I111" s="89"/>
      <c r="J111" s="89"/>
    </row>
    <row r="112" spans="1:45" hidden="1">
      <c r="A112" s="89"/>
      <c r="B112" s="89"/>
      <c r="C112" s="89"/>
      <c r="D112" s="89"/>
      <c r="E112" s="89"/>
      <c r="F112" s="89"/>
      <c r="G112" s="89"/>
      <c r="H112" s="89"/>
      <c r="I112" s="89"/>
      <c r="J112" s="89"/>
    </row>
    <row r="113" spans="1:10" hidden="1">
      <c r="A113" s="89"/>
      <c r="B113" s="89"/>
      <c r="C113" s="89"/>
      <c r="D113" s="89"/>
      <c r="E113" s="89"/>
      <c r="F113" s="89"/>
      <c r="G113" s="89"/>
      <c r="H113" s="89"/>
      <c r="I113" s="89"/>
      <c r="J113" s="89"/>
    </row>
    <row r="114" spans="1:10" hidden="1">
      <c r="A114" s="89"/>
      <c r="B114" s="89"/>
      <c r="C114" s="89"/>
      <c r="D114" s="89"/>
      <c r="E114" s="89"/>
      <c r="F114" s="89"/>
      <c r="G114" s="89"/>
      <c r="H114" s="89"/>
      <c r="I114" s="89"/>
      <c r="J114" s="89"/>
    </row>
    <row r="115" spans="1:10" hidden="1">
      <c r="A115" s="89"/>
      <c r="B115" s="89"/>
      <c r="C115" s="89"/>
      <c r="D115" s="89"/>
      <c r="E115" s="89"/>
      <c r="F115" s="89"/>
      <c r="G115" s="89"/>
      <c r="H115" s="89"/>
      <c r="I115" s="89"/>
      <c r="J115" s="89"/>
    </row>
    <row r="116" spans="1:10" hidden="1">
      <c r="A116" s="89"/>
      <c r="B116" s="89"/>
      <c r="C116" s="89"/>
      <c r="D116" s="89"/>
      <c r="E116" s="89"/>
      <c r="F116" s="89"/>
      <c r="G116" s="89"/>
      <c r="H116" s="89"/>
      <c r="J116" s="89"/>
    </row>
    <row r="117" spans="1:10" hidden="1">
      <c r="A117" s="89"/>
      <c r="B117" s="89"/>
      <c r="C117" s="89"/>
      <c r="D117" s="89"/>
      <c r="E117" s="89"/>
      <c r="F117" s="89"/>
      <c r="G117" s="89"/>
      <c r="H117" s="89"/>
      <c r="I117" s="89"/>
      <c r="J117" s="89"/>
    </row>
    <row r="118" spans="1:10" hidden="1">
      <c r="A118" s="89"/>
      <c r="B118" s="89"/>
      <c r="C118" s="89"/>
      <c r="D118" s="89"/>
      <c r="E118" s="89"/>
      <c r="F118" s="89"/>
      <c r="G118" s="89"/>
      <c r="H118" s="89"/>
      <c r="I118" s="89"/>
      <c r="J118" s="89"/>
    </row>
    <row r="119" spans="1:10" hidden="1">
      <c r="A119" s="89"/>
      <c r="B119" s="89"/>
      <c r="C119" s="89"/>
      <c r="D119" s="89"/>
      <c r="E119" s="89"/>
      <c r="F119" s="89"/>
      <c r="G119" s="89"/>
      <c r="H119" s="89"/>
      <c r="I119" s="89"/>
      <c r="J119" s="89"/>
    </row>
    <row r="120" spans="1:10" hidden="1">
      <c r="A120" s="89"/>
      <c r="B120" s="89"/>
      <c r="C120" s="89"/>
      <c r="D120" s="89"/>
      <c r="E120" s="89"/>
      <c r="F120" s="89"/>
      <c r="G120" s="89"/>
      <c r="H120" s="89"/>
      <c r="I120" s="89"/>
      <c r="J120" s="89"/>
    </row>
    <row r="121" spans="1:10" hidden="1">
      <c r="A121" s="89"/>
      <c r="B121" s="89"/>
      <c r="C121" s="89"/>
      <c r="D121" s="89"/>
      <c r="E121" s="89"/>
      <c r="F121" s="89"/>
      <c r="G121" s="89"/>
      <c r="H121" s="89"/>
      <c r="I121" s="89"/>
      <c r="J121" s="89"/>
    </row>
    <row r="122" spans="1:10" hidden="1">
      <c r="A122" s="89"/>
      <c r="B122" s="89"/>
      <c r="C122" s="89"/>
      <c r="D122" s="89"/>
      <c r="E122" s="89"/>
      <c r="F122" s="89"/>
      <c r="G122" s="89"/>
      <c r="H122" s="89"/>
      <c r="I122" s="89"/>
      <c r="J122" s="89"/>
    </row>
    <row r="123" spans="1:10" hidden="1">
      <c r="A123" s="89"/>
      <c r="B123" s="89"/>
      <c r="C123" s="89"/>
      <c r="D123" s="89"/>
      <c r="E123" s="89"/>
      <c r="F123" s="89"/>
      <c r="G123" s="89"/>
      <c r="H123" s="89"/>
      <c r="I123" s="89"/>
      <c r="J123" s="89"/>
    </row>
    <row r="124" spans="1:10" hidden="1">
      <c r="A124" s="89"/>
      <c r="B124" s="89"/>
      <c r="C124" s="89"/>
      <c r="D124" s="89"/>
      <c r="E124" s="89"/>
      <c r="F124" s="89"/>
      <c r="G124" s="89"/>
      <c r="H124" s="89"/>
      <c r="I124" s="89"/>
      <c r="J124" s="89"/>
    </row>
    <row r="125" spans="1:10" hidden="1">
      <c r="A125" s="89"/>
      <c r="B125" s="89"/>
      <c r="C125" s="89"/>
      <c r="D125" s="89"/>
      <c r="E125" s="89"/>
      <c r="F125" s="89"/>
      <c r="G125" s="89"/>
      <c r="H125" s="89"/>
      <c r="I125" s="89"/>
      <c r="J125" s="89"/>
    </row>
    <row r="126" spans="1:10" hidden="1">
      <c r="A126" s="89"/>
      <c r="B126" s="89"/>
      <c r="C126" s="89"/>
      <c r="D126" s="89"/>
      <c r="E126" s="89"/>
      <c r="F126" s="89"/>
      <c r="G126" s="89"/>
      <c r="H126" s="89"/>
      <c r="I126" s="89"/>
      <c r="J126" s="89"/>
    </row>
    <row r="127" spans="1:10" hidden="1">
      <c r="A127" s="89"/>
      <c r="B127" s="89"/>
      <c r="C127" s="89"/>
      <c r="D127" s="89"/>
      <c r="E127" s="89"/>
      <c r="F127" s="89"/>
      <c r="G127" s="89"/>
      <c r="H127" s="89"/>
      <c r="I127" s="89"/>
      <c r="J127" s="89"/>
    </row>
    <row r="128" spans="1:10" hidden="1">
      <c r="A128" s="89"/>
      <c r="B128" s="89"/>
      <c r="C128" s="89"/>
      <c r="D128" s="89"/>
      <c r="E128" s="89"/>
      <c r="F128" s="89"/>
      <c r="G128" s="89"/>
      <c r="H128" s="89"/>
      <c r="I128" s="89"/>
      <c r="J128" s="89"/>
    </row>
    <row r="129" spans="1:10" hidden="1">
      <c r="A129" s="89"/>
      <c r="B129" s="89"/>
      <c r="C129" s="89"/>
      <c r="D129" s="89"/>
      <c r="E129" s="89"/>
      <c r="F129" s="89"/>
      <c r="G129" s="89"/>
      <c r="H129" s="89"/>
      <c r="I129" s="89"/>
      <c r="J129" s="89"/>
    </row>
    <row r="130" spans="1:10" hidden="1">
      <c r="A130" s="89"/>
      <c r="B130" s="89"/>
      <c r="C130" s="89"/>
      <c r="D130" s="89"/>
      <c r="E130" s="89"/>
      <c r="F130" s="89"/>
      <c r="G130" s="89"/>
      <c r="H130" s="89"/>
      <c r="I130" s="89"/>
      <c r="J130" s="89"/>
    </row>
    <row r="131" spans="1:10" hidden="1">
      <c r="A131" s="89"/>
      <c r="B131" s="89"/>
      <c r="C131" s="89"/>
      <c r="D131" s="89"/>
      <c r="E131" s="89"/>
      <c r="F131" s="89"/>
      <c r="G131" s="89"/>
      <c r="H131" s="89"/>
      <c r="I131" s="89"/>
      <c r="J131" s="89"/>
    </row>
    <row r="132" spans="1:10" hidden="1">
      <c r="A132" s="89"/>
      <c r="B132" s="89"/>
      <c r="C132" s="89"/>
      <c r="D132" s="89"/>
      <c r="E132" s="89"/>
      <c r="F132" s="89"/>
      <c r="G132" s="89"/>
      <c r="H132" s="89"/>
      <c r="I132" s="89"/>
      <c r="J132" s="89"/>
    </row>
    <row r="133" spans="1:10" hidden="1">
      <c r="A133" s="89"/>
      <c r="B133" s="89"/>
      <c r="C133" s="89"/>
      <c r="D133" s="89"/>
      <c r="E133" s="89"/>
      <c r="F133" s="89"/>
      <c r="G133" s="89"/>
      <c r="H133" s="89"/>
      <c r="I133" s="89"/>
      <c r="J133" s="89"/>
    </row>
    <row r="134" spans="1:10" hidden="1">
      <c r="A134" s="89"/>
      <c r="B134" s="89"/>
      <c r="C134" s="89"/>
      <c r="D134" s="89"/>
      <c r="E134" s="89"/>
      <c r="F134" s="89"/>
      <c r="G134" s="89"/>
      <c r="H134" s="89"/>
      <c r="I134" s="89"/>
      <c r="J134" s="89"/>
    </row>
    <row r="135" spans="1:10" hidden="1">
      <c r="A135" s="89"/>
      <c r="B135" s="89"/>
      <c r="C135" s="89"/>
      <c r="D135" s="89"/>
      <c r="E135" s="89"/>
      <c r="F135" s="89"/>
      <c r="G135" s="89"/>
      <c r="H135" s="89"/>
      <c r="I135" s="89"/>
      <c r="J135" s="89"/>
    </row>
    <row r="136" spans="1:10" hidden="1">
      <c r="A136" s="89"/>
      <c r="B136" s="89"/>
      <c r="C136" s="89"/>
      <c r="D136" s="89"/>
      <c r="E136" s="89"/>
      <c r="F136" s="89"/>
      <c r="G136" s="89"/>
      <c r="H136" s="89"/>
      <c r="I136" s="89"/>
      <c r="J136" s="89"/>
    </row>
    <row r="137" spans="1:10" hidden="1">
      <c r="A137" s="89"/>
      <c r="B137" s="89"/>
      <c r="C137" s="89"/>
      <c r="D137" s="89"/>
      <c r="E137" s="89"/>
      <c r="F137" s="89"/>
      <c r="G137" s="89"/>
      <c r="H137" s="89"/>
      <c r="I137" s="89"/>
      <c r="J137" s="89"/>
    </row>
    <row r="138" spans="1:10" hidden="1">
      <c r="A138" s="89"/>
      <c r="B138" s="89"/>
      <c r="C138" s="89"/>
      <c r="D138" s="89"/>
      <c r="E138" s="89"/>
      <c r="F138" s="89"/>
      <c r="G138" s="89"/>
      <c r="H138" s="89"/>
      <c r="I138" s="89"/>
      <c r="J138" s="89"/>
    </row>
    <row r="139" spans="1:10" hidden="1">
      <c r="A139" s="89"/>
      <c r="B139" s="89"/>
      <c r="C139" s="89"/>
      <c r="D139" s="89"/>
      <c r="E139" s="89"/>
      <c r="F139" s="89"/>
      <c r="G139" s="89"/>
      <c r="H139" s="89"/>
      <c r="I139" s="89"/>
      <c r="J139" s="89"/>
    </row>
    <row r="140" spans="1:10" hidden="1">
      <c r="A140" s="89"/>
      <c r="B140" s="89"/>
      <c r="C140" s="89"/>
      <c r="D140" s="89"/>
      <c r="E140" s="89"/>
      <c r="F140" s="89"/>
      <c r="G140" s="89"/>
      <c r="H140" s="89"/>
      <c r="I140" s="89"/>
      <c r="J140" s="89"/>
    </row>
    <row r="141" spans="1:10" hidden="1">
      <c r="A141" s="89"/>
      <c r="B141" s="89"/>
      <c r="C141" s="89"/>
      <c r="D141" s="89"/>
      <c r="E141" s="89"/>
      <c r="F141" s="89"/>
      <c r="G141" s="89"/>
      <c r="H141" s="89"/>
      <c r="I141" s="89"/>
      <c r="J141" s="89"/>
    </row>
    <row r="142" spans="1:10" hidden="1">
      <c r="A142" s="89"/>
      <c r="B142" s="89"/>
      <c r="C142" s="89"/>
      <c r="D142" s="89"/>
      <c r="E142" s="89"/>
      <c r="F142" s="89"/>
      <c r="G142" s="89"/>
      <c r="H142" s="89"/>
      <c r="I142" s="89"/>
      <c r="J142" s="89"/>
    </row>
    <row r="143" spans="1:10" hidden="1">
      <c r="A143" s="89"/>
      <c r="B143" s="89"/>
      <c r="C143" s="89"/>
      <c r="D143" s="89"/>
      <c r="E143" s="89"/>
      <c r="F143" s="89"/>
      <c r="G143" s="89"/>
      <c r="H143" s="89"/>
      <c r="I143" s="89"/>
      <c r="J143" s="89"/>
    </row>
    <row r="144" spans="1:10" hidden="1">
      <c r="A144" s="89"/>
      <c r="B144" s="89"/>
      <c r="C144" s="89"/>
      <c r="D144" s="89"/>
      <c r="E144" s="89"/>
      <c r="F144" s="89"/>
      <c r="G144" s="89"/>
      <c r="H144" s="89"/>
      <c r="I144" s="89"/>
      <c r="J144" s="89"/>
    </row>
    <row r="145" spans="1:10" hidden="1">
      <c r="A145" s="89"/>
      <c r="B145" s="89"/>
      <c r="C145" s="89"/>
      <c r="D145" s="89"/>
      <c r="E145" s="89"/>
      <c r="F145" s="89"/>
      <c r="G145" s="89"/>
      <c r="H145" s="89"/>
      <c r="I145" s="89"/>
      <c r="J145" s="89"/>
    </row>
    <row r="146" spans="1:10">
      <c r="A146" s="89"/>
      <c r="B146" s="89"/>
      <c r="C146" s="89"/>
      <c r="D146" s="89"/>
      <c r="E146" s="89"/>
      <c r="F146" s="89"/>
      <c r="G146" s="89"/>
      <c r="H146" s="89"/>
      <c r="I146" s="89"/>
      <c r="J146" s="89"/>
    </row>
    <row r="147" spans="1:10" ht="15" customHeight="1">
      <c r="A147" s="410" t="s">
        <v>3</v>
      </c>
      <c r="B147" s="411"/>
      <c r="C147" s="411"/>
      <c r="D147" s="411"/>
      <c r="E147" s="411"/>
      <c r="F147" s="411"/>
      <c r="G147" s="411"/>
      <c r="H147" s="412"/>
      <c r="I147" s="219"/>
      <c r="J147" s="89"/>
    </row>
    <row r="148" spans="1:10" ht="15" customHeight="1">
      <c r="A148" s="90" t="s">
        <v>30</v>
      </c>
      <c r="B148" s="102"/>
      <c r="C148" s="103" t="s">
        <v>53</v>
      </c>
      <c r="D148" s="103"/>
      <c r="E148" s="104"/>
      <c r="F148" s="103"/>
      <c r="G148" s="103" t="s">
        <v>203</v>
      </c>
      <c r="H148" s="221"/>
      <c r="I148" s="220"/>
      <c r="J148" s="89"/>
    </row>
    <row r="149" spans="1:10">
      <c r="A149" s="92">
        <v>1</v>
      </c>
      <c r="B149" s="93">
        <v>2</v>
      </c>
      <c r="C149" s="93">
        <v>3</v>
      </c>
      <c r="D149" s="93">
        <v>4</v>
      </c>
      <c r="E149" s="93">
        <v>5</v>
      </c>
      <c r="F149" s="93">
        <v>7</v>
      </c>
      <c r="G149" s="106">
        <v>8</v>
      </c>
      <c r="H149" s="106">
        <v>9</v>
      </c>
      <c r="I149" s="89"/>
      <c r="J149" s="89"/>
    </row>
    <row r="150" spans="1:10">
      <c r="A150" s="94"/>
      <c r="B150" s="93" t="s">
        <v>73</v>
      </c>
      <c r="C150" s="93" t="s">
        <v>62</v>
      </c>
      <c r="D150" s="93" t="s">
        <v>51</v>
      </c>
      <c r="E150" s="93" t="s">
        <v>31</v>
      </c>
      <c r="F150" s="93" t="s">
        <v>62</v>
      </c>
      <c r="G150" s="93" t="s">
        <v>51</v>
      </c>
      <c r="H150" s="93" t="s">
        <v>31</v>
      </c>
      <c r="I150" s="89"/>
      <c r="J150" s="89"/>
    </row>
    <row r="151" spans="1:10">
      <c r="A151" s="95"/>
      <c r="B151" s="107">
        <v>2023</v>
      </c>
      <c r="C151" s="107">
        <v>2024</v>
      </c>
      <c r="D151" s="107">
        <v>2025</v>
      </c>
      <c r="E151" s="107">
        <v>2026</v>
      </c>
      <c r="F151" s="107">
        <v>2024</v>
      </c>
      <c r="G151" s="107">
        <v>2025</v>
      </c>
      <c r="H151" s="107">
        <v>2026</v>
      </c>
      <c r="I151" s="89"/>
      <c r="J151" s="89"/>
    </row>
    <row r="152" spans="1:10">
      <c r="A152" s="97" t="s">
        <v>156</v>
      </c>
      <c r="B152" s="99">
        <f ca="1">IF(INDIRECT(ADDRESS(ROW('3'!BU$7),COLUMN('3'!BU$6)+ROW(A1)+$A$795,1,1,"3"))="","",INDIRECT(ADDRESS(ROW('3'!BU$7),COLUMN('3'!BU$6)+ROW(A1)+$A$795,1,1,"3")))</f>
        <v>1077162.7609999999</v>
      </c>
      <c r="C152" s="99">
        <f ca="1">IF(INDIRECT(ADDRESS(ROW('3'!BU$7),COLUMN('3'!BU$6)+ROW(A1)+$B$795,1,1,"3"))="","",INDIRECT(ADDRESS(ROW('3'!BU$7),COLUMN('3'!BU$6)+ROW(A1)+$B$795,1,1,"3")))</f>
        <v>1080454.102</v>
      </c>
      <c r="D152" s="99">
        <f ca="1">IF(INDIRECT(ADDRESS(ROW('3'!BU$7),COLUMN('3'!BU$6)+ROW(A1)+$C$795,1,1,"3"))="","",INDIRECT(ADDRESS(ROW('3'!BU$7),COLUMN('3'!BU$6)+ROW(A1)+$C$795,1,1,"3")))</f>
        <v>1197099.889</v>
      </c>
      <c r="E152" s="99">
        <f ca="1">IF(INDIRECT(ADDRESS(ROW('3'!BU$7),COLUMN('3'!BU$6)+ROW(A1)+$D$795,1,1,"3"))="","",INDIRECT(ADDRESS(ROW('3'!BU$7),COLUMN('3'!BU$6)+ROW(A1)+$D$795,1,1,"3")))</f>
        <v>1245064.9280000001</v>
      </c>
      <c r="F152" s="98">
        <f ca="1">IFERROR((C152/B152-1)*100,"")</f>
        <v>0.30555651561370301</v>
      </c>
      <c r="G152" s="98">
        <f ca="1">IFERROR((D152/C152-1)*100,"")</f>
        <v>10.795996496665627</v>
      </c>
      <c r="H152" s="98">
        <f ca="1">IFERROR((E152/D152-1)*100,"")</f>
        <v>4.0067699814146485</v>
      </c>
      <c r="I152" s="89"/>
      <c r="J152" s="122"/>
    </row>
    <row r="153" spans="1:10">
      <c r="A153" s="97" t="s">
        <v>157</v>
      </c>
      <c r="B153" s="99">
        <f ca="1">IF(INDIRECT(ADDRESS(ROW('3'!BU$7),COLUMN('3'!BU$6)+ROW(A2)+$A$795,1,1,"3"))="","",INDIRECT(ADDRESS(ROW('3'!BU$7),COLUMN('3'!BU$6)+ROW(A2)+$A$795,1,1,"3")))</f>
        <v>983504.24399999995</v>
      </c>
      <c r="C153" s="99">
        <f ca="1">IF(INDIRECT(ADDRESS(ROW('3'!BU$7),COLUMN('3'!BU$6)+ROW(A2)+$B$795,1,1,"3"))="","",INDIRECT(ADDRESS(ROW('3'!BU$7),COLUMN('3'!BU$6)+ROW(A2)+$B$795,1,1,"3")))</f>
        <v>1024283.855</v>
      </c>
      <c r="D153" s="99">
        <f ca="1">IF(INDIRECT(ADDRESS(ROW('3'!BU$7),COLUMN('3'!BU$6)+ROW(A2)+$C$795,1,1,"3"))="","",INDIRECT(ADDRESS(ROW('3'!BU$7),COLUMN('3'!BU$6)+ROW(A2)+$C$795,1,1,"3")))</f>
        <v>1075544.3429999999</v>
      </c>
      <c r="E153" s="99">
        <f ca="1">IF(INDIRECT(ADDRESS(ROW('3'!BU$7),COLUMN('3'!BU$6)+ROW(A2)+$D$795,1,1,"3"))="","",INDIRECT(ADDRESS(ROW('3'!BU$7),COLUMN('3'!BU$6)+ROW(A2)+$D$795,1,1,"3")))</f>
        <v>1168970.0870000001</v>
      </c>
      <c r="F153" s="98">
        <f t="shared" ref="F153:F163" ca="1" si="21">IFERROR((C153/B153-1)*100,"")</f>
        <v>4.1463584167309442</v>
      </c>
      <c r="G153" s="98">
        <f t="shared" ref="G153:G164" ca="1" si="22">IFERROR((D153/C153-1)*100,"")</f>
        <v>5.0045197676185094</v>
      </c>
      <c r="H153" s="98">
        <f t="shared" ref="H153:H163" ca="1" si="23">IFERROR((E153/D153-1)*100,"")</f>
        <v>8.6863684057329582</v>
      </c>
      <c r="I153" s="89"/>
      <c r="J153" s="122"/>
    </row>
    <row r="154" spans="1:10">
      <c r="A154" s="97" t="s">
        <v>158</v>
      </c>
      <c r="B154" s="99">
        <f ca="1">IF(INDIRECT(ADDRESS(ROW('3'!BU$7),COLUMN('3'!BU$6)+ROW(A3)+$A$795,1,1,"3"))="","",INDIRECT(ADDRESS(ROW('3'!BU$7),COLUMN('3'!BU$6)+ROW(A3)+$A$795,1,1,"3")))</f>
        <v>838446.19</v>
      </c>
      <c r="C154" s="99">
        <f ca="1">IF(INDIRECT(ADDRESS(ROW('3'!BU$7),COLUMN('3'!BU$6)+ROW(A3)+$B$795,1,1,"3"))="","",INDIRECT(ADDRESS(ROW('3'!BU$7),COLUMN('3'!BU$6)+ROW(A3)+$B$795,1,1,"3")))</f>
        <v>948366.56</v>
      </c>
      <c r="D154" s="99">
        <f ca="1">IF(INDIRECT(ADDRESS(ROW('3'!BU$7),COLUMN('3'!BU$6)+ROW(A3)+$C$795,1,1,"3"))="","",INDIRECT(ADDRESS(ROW('3'!BU$7),COLUMN('3'!BU$6)+ROW(A3)+$C$795,1,1,"3")))</f>
        <v>982712.22600000026</v>
      </c>
      <c r="E154" s="99">
        <f ca="1">IF(INDIRECT(ADDRESS(ROW('3'!BU$7),COLUMN('3'!BU$6)+ROW(A3)+$D$795,1,1,"3"))="","",INDIRECT(ADDRESS(ROW('3'!BU$7),COLUMN('3'!BU$6)+ROW(A3)+$D$795,1,1,"3")))</f>
        <v>1051697.0249999999</v>
      </c>
      <c r="F154" s="98">
        <f t="shared" ca="1" si="21"/>
        <v>13.110008884410362</v>
      </c>
      <c r="G154" s="98">
        <f t="shared" ca="1" si="22"/>
        <v>3.6215602119079593</v>
      </c>
      <c r="H154" s="98">
        <f t="shared" ca="1" si="23"/>
        <v>7.0198372600688064</v>
      </c>
      <c r="I154" s="89"/>
      <c r="J154" s="89"/>
    </row>
    <row r="155" spans="1:10">
      <c r="A155" s="97" t="s">
        <v>159</v>
      </c>
      <c r="B155" s="99">
        <f ca="1">IF(INDIRECT(ADDRESS(ROW('3'!BU$7),COLUMN('3'!BU$6)+ROW(A4)+$A$795,1,1,"3"))="","",INDIRECT(ADDRESS(ROW('3'!BU$7),COLUMN('3'!BU$6)+ROW(A4)+$A$795,1,1,"3")))</f>
        <v>1063867.0010000002</v>
      </c>
      <c r="C155" s="99">
        <f ca="1">IF(INDIRECT(ADDRESS(ROW('3'!BU$7),COLUMN('3'!BU$6)+ROW(A4)+$B$795,1,1,"3"))="","",INDIRECT(ADDRESS(ROW('3'!BU$7),COLUMN('3'!BU$6)+ROW(A4)+$B$795,1,1,"3")))</f>
        <v>1101148.2999999998</v>
      </c>
      <c r="D155" s="99">
        <f ca="1">IF(INDIRECT(ADDRESS(ROW('3'!BU$7),COLUMN('3'!BU$6)+ROW(A4)+$C$795,1,1,"3"))="","",INDIRECT(ADDRESS(ROW('3'!BU$7),COLUMN('3'!BU$6)+ROW(A4)+$C$795,1,1,"3")))</f>
        <v>1155370.0780000002</v>
      </c>
      <c r="E155" s="99">
        <f ca="1">IF(INDIRECT(ADDRESS(ROW('3'!BU$7),COLUMN('3'!BU$6)+ROW(A4)+$D$795,1,1,"3"))="","",INDIRECT(ADDRESS(ROW('3'!BU$7),COLUMN('3'!BU$6)+ROW(A4)+$D$795,1,1,"3")))</f>
        <v>1254694.6859999998</v>
      </c>
      <c r="F155" s="98">
        <f t="shared" ca="1" si="21"/>
        <v>3.5043195216090339</v>
      </c>
      <c r="G155" s="98">
        <f t="shared" ca="1" si="22"/>
        <v>4.9241122199435328</v>
      </c>
      <c r="H155" s="98">
        <f t="shared" ca="1" si="23"/>
        <v>8.5967786332094676</v>
      </c>
      <c r="I155" s="89"/>
      <c r="J155" s="89"/>
    </row>
    <row r="156" spans="1:10">
      <c r="A156" s="97" t="s">
        <v>160</v>
      </c>
      <c r="B156" s="99">
        <f ca="1">IF(INDIRECT(ADDRESS(ROW('3'!BU$7),COLUMN('3'!BU$6)+ROW(A5)+$A$795,1,1,"3"))="","",INDIRECT(ADDRESS(ROW('3'!BU$7),COLUMN('3'!BU$6)+ROW(A5)+$A$795,1,1,"3")))</f>
        <v>1071795.2409999999</v>
      </c>
      <c r="C156" s="99">
        <f ca="1">IF(INDIRECT(ADDRESS(ROW('3'!BU$7),COLUMN('3'!BU$6)+ROW(A5)+$B$795,1,1,"3"))="","",INDIRECT(ADDRESS(ROW('3'!BU$7),COLUMN('3'!BU$6)+ROW(A5)+$B$795,1,1,"3")))</f>
        <v>1184611.6260000002</v>
      </c>
      <c r="D156" s="99">
        <f ca="1">IF(INDIRECT(ADDRESS(ROW('3'!BU$7),COLUMN('3'!BU$6)+ROW(A5)+$C$795,1,1,"3"))="","",INDIRECT(ADDRESS(ROW('3'!BU$7),COLUMN('3'!BU$6)+ROW(A5)+$C$795,1,1,"3")))</f>
        <v>1230647.0999999996</v>
      </c>
      <c r="E156" s="99">
        <f ca="1">IF(INDIRECT(ADDRESS(ROW('3'!BU$7),COLUMN('3'!BU$6)+ROW(A5)+$D$795,1,1,"3"))="","",INDIRECT(ADDRESS(ROW('3'!BU$7),COLUMN('3'!BU$6)+ROW(A5)+$D$795,1,1,"3")))</f>
        <v>1269884.932</v>
      </c>
      <c r="F156" s="98">
        <f t="shared" ca="1" si="21"/>
        <v>10.525927031989891</v>
      </c>
      <c r="G156" s="98">
        <f t="shared" ca="1" si="22"/>
        <v>3.8861237716739661</v>
      </c>
      <c r="H156" s="98">
        <f t="shared" ca="1" si="23"/>
        <v>3.1883902379488349</v>
      </c>
      <c r="I156" s="89"/>
      <c r="J156" s="89"/>
    </row>
    <row r="157" spans="1:10">
      <c r="A157" s="97" t="s">
        <v>161</v>
      </c>
      <c r="B157" s="99">
        <f ca="1">IF(INDIRECT(ADDRESS(ROW('3'!BU$7),COLUMN('3'!BU$6)+ROW(A6)+$A$795,1,1,"3"))="","",INDIRECT(ADDRESS(ROW('3'!BU$7),COLUMN('3'!BU$6)+ROW(A6)+$A$795,1,1,"3")))</f>
        <v>1023214.676</v>
      </c>
      <c r="C157" s="99">
        <f ca="1">IF(INDIRECT(ADDRESS(ROW('3'!BU$7),COLUMN('3'!BU$6)+ROW(A6)+$B$795,1,1,"3"))="","",INDIRECT(ADDRESS(ROW('3'!BU$7),COLUMN('3'!BU$6)+ROW(A6)+$B$795,1,1,"3")))</f>
        <v>1175606.6299999999</v>
      </c>
      <c r="D157" s="99">
        <f ca="1">IF(INDIRECT(ADDRESS(ROW('3'!BU$7),COLUMN('3'!BU$6)+ROW(A6)+$C$795,1,1,"3"))="","",INDIRECT(ADDRESS(ROW('3'!BU$7),COLUMN('3'!BU$6)+ROW(A6)+$C$795,1,1,"3")))</f>
        <v>1253873.0930000003</v>
      </c>
      <c r="E157" s="99">
        <f ca="1">IF(INDIRECT(ADDRESS(ROW('3'!BU$7),COLUMN('3'!BU$6)+ROW(A6)+$D$795,1,1,"3"))="","",INDIRECT(ADDRESS(ROW('3'!BU$7),COLUMN('3'!BU$6)+ROW(A6)+$D$795,1,1,"3")))</f>
        <v>1294126.7369999997</v>
      </c>
      <c r="F157" s="98">
        <f t="shared" ca="1" si="21"/>
        <v>14.893448811322552</v>
      </c>
      <c r="G157" s="98">
        <f t="shared" ca="1" si="22"/>
        <v>6.6575384148693129</v>
      </c>
      <c r="H157" s="98">
        <f t="shared" ca="1" si="23"/>
        <v>3.2103443502156326</v>
      </c>
      <c r="I157" s="89"/>
      <c r="J157" s="89"/>
    </row>
    <row r="158" spans="1:10">
      <c r="A158" s="97" t="s">
        <v>162</v>
      </c>
      <c r="B158" s="99">
        <f ca="1">IF(INDIRECT(ADDRESS(ROW('3'!BU$7),COLUMN('3'!BU$6)+ROW(A7)+$A$795,1,1,"3"))="","",INDIRECT(ADDRESS(ROW('3'!BU$7),COLUMN('3'!BU$6)+ROW(A7)+$A$795,1,1,"3")))</f>
        <v>1108668.1310000001</v>
      </c>
      <c r="C158" s="99">
        <f ca="1">IF(INDIRECT(ADDRESS(ROW('3'!BU$7),COLUMN('3'!BU$6)+ROW(A7)+$B$795,1,1,"3"))="","",INDIRECT(ADDRESS(ROW('3'!BU$7),COLUMN('3'!BU$6)+ROW(A7)+$B$795,1,1,"3")))</f>
        <v>1168928.6660000002</v>
      </c>
      <c r="D158" s="99">
        <f ca="1">IF(INDIRECT(ADDRESS(ROW('3'!BU$7),COLUMN('3'!BU$6)+ROW(A7)+$C$795,1,1,"3"))="","",INDIRECT(ADDRESS(ROW('3'!BU$7),COLUMN('3'!BU$6)+ROW(A7)+$C$795,1,1,"3")))</f>
        <v>1238509.5449999999</v>
      </c>
      <c r="E158" s="99">
        <f ca="1">IF(INDIRECT(ADDRESS(ROW('3'!BU$7),COLUMN('3'!BU$6)+ROW(A7)+$D$795,1,1,"3"))="","",INDIRECT(ADDRESS(ROW('3'!BU$7),COLUMN('3'!BU$6)+ROW(A7)+$D$795,1,1,"3")))</f>
        <v>1358438.3030000012</v>
      </c>
      <c r="F158" s="98">
        <f t="shared" ca="1" si="21"/>
        <v>5.4353988641890671</v>
      </c>
      <c r="G158" s="98">
        <f t="shared" ca="1" si="22"/>
        <v>5.9525342327433117</v>
      </c>
      <c r="H158" s="98">
        <f t="shared" ca="1" si="23"/>
        <v>9.6833131794717975</v>
      </c>
      <c r="I158" s="89"/>
      <c r="J158" s="89"/>
    </row>
    <row r="159" spans="1:10">
      <c r="A159" s="97" t="s">
        <v>163</v>
      </c>
      <c r="B159" s="99">
        <f ca="1">IF(INDIRECT(ADDRESS(ROW('3'!BU$7),COLUMN('3'!BU$6)+ROW(A8)+$A$795,1,1,"3"))="","",INDIRECT(ADDRESS(ROW('3'!BU$7),COLUMN('3'!BU$6)+ROW(A8)+$A$795,1,1,"3")))</f>
        <v>1074853.3080000002</v>
      </c>
      <c r="C159" s="99">
        <f ca="1">IF(INDIRECT(ADDRESS(ROW('3'!BU$7),COLUMN('3'!BU$6)+ROW(A8)+$B$795,1,1,"3"))="","",INDIRECT(ADDRESS(ROW('3'!BU$7),COLUMN('3'!BU$6)+ROW(A8)+$B$795,1,1,"3")))</f>
        <v>1163803.9859999996</v>
      </c>
      <c r="D159" s="99">
        <f ca="1">IF(INDIRECT(ADDRESS(ROW('3'!BU$7),COLUMN('3'!BU$6)+ROW(A8)+$C$795,1,1,"3"))="","",INDIRECT(ADDRESS(ROW('3'!BU$7),COLUMN('3'!BU$6)+ROW(A8)+$C$795,1,1,"3")))</f>
        <v>1259247.875</v>
      </c>
      <c r="E159" s="99" t="str">
        <f ca="1">IF(INDIRECT(ADDRESS(ROW('3'!BU$7),COLUMN('3'!BU$6)+ROW(A8)+$D$795,1,1,"3"))="","",INDIRECT(ADDRESS(ROW('3'!BU$7),COLUMN('3'!BU$6)+ROW(A8)+$D$795,1,1,"3")))</f>
        <v/>
      </c>
      <c r="F159" s="98">
        <f t="shared" ca="1" si="21"/>
        <v>8.2756109450424997</v>
      </c>
      <c r="G159" s="98">
        <f t="shared" ca="1" si="22"/>
        <v>8.2010278490316502</v>
      </c>
      <c r="H159" s="98" t="str">
        <f t="shared" ca="1" si="23"/>
        <v/>
      </c>
      <c r="I159" s="89"/>
      <c r="J159" s="89"/>
    </row>
    <row r="160" spans="1:10">
      <c r="A160" s="97" t="s">
        <v>164</v>
      </c>
      <c r="B160" s="99">
        <f ca="1">IF(INDIRECT(ADDRESS(ROW('3'!BU$7),COLUMN('3'!BU$6)+ROW(A9)+$A$795,1,1,"3"))="","",INDIRECT(ADDRESS(ROW('3'!BU$7),COLUMN('3'!BU$6)+ROW(A9)+$A$795,1,1,"3")))</f>
        <v>1074818.7690000003</v>
      </c>
      <c r="C160" s="99">
        <f ca="1">IF(INDIRECT(ADDRESS(ROW('3'!BU$7),COLUMN('3'!BU$6)+ROW(A9)+$B$795,1,1,"3"))="","",INDIRECT(ADDRESS(ROW('3'!BU$7),COLUMN('3'!BU$6)+ROW(A9)+$B$795,1,1,"3")))</f>
        <v>1144495.5980000012</v>
      </c>
      <c r="D160" s="99">
        <f ca="1">IF(INDIRECT(ADDRESS(ROW('3'!BU$7),COLUMN('3'!BU$6)+ROW(A9)+$C$795,1,1,"3"))="","",INDIRECT(ADDRESS(ROW('3'!BU$7),COLUMN('3'!BU$6)+ROW(A9)+$C$795,1,1,"3")))</f>
        <v>1177867.6439999994</v>
      </c>
      <c r="E160" s="99" t="str">
        <f ca="1">IF(INDIRECT(ADDRESS(ROW('3'!BU$7),COLUMN('3'!BU$6)+ROW(A9)+$D$795,1,1,"3"))="","",INDIRECT(ADDRESS(ROW('3'!BU$7),COLUMN('3'!BU$6)+ROW(A9)+$D$795,1,1,"3")))</f>
        <v/>
      </c>
      <c r="F160" s="98">
        <f t="shared" ca="1" si="21"/>
        <v>6.4826583801497417</v>
      </c>
      <c r="G160" s="98">
        <f t="shared" ca="1" si="22"/>
        <v>2.9158736877901159</v>
      </c>
      <c r="H160" s="98" t="str">
        <f t="shared" ca="1" si="23"/>
        <v/>
      </c>
      <c r="I160" s="89"/>
      <c r="J160" s="89"/>
    </row>
    <row r="161" spans="1:10">
      <c r="A161" s="97" t="s">
        <v>165</v>
      </c>
      <c r="B161" s="99">
        <f ca="1">IF(INDIRECT(ADDRESS(ROW('3'!BU$7),COLUMN('3'!BU$6)+ROW(A10)+$A$795,1,1,"3"))="","",INDIRECT(ADDRESS(ROW('3'!BU$7),COLUMN('3'!BU$6)+ROW(A10)+$A$795,1,1,"3")))</f>
        <v>1092402.0949999988</v>
      </c>
      <c r="C161" s="99">
        <f ca="1">IF(INDIRECT(ADDRESS(ROW('3'!BU$7),COLUMN('3'!BU$6)+ROW(A10)+$B$795,1,1,"3"))="","",INDIRECT(ADDRESS(ROW('3'!BU$7),COLUMN('3'!BU$6)+ROW(A10)+$B$795,1,1,"3")))</f>
        <v>1143525.4899999984</v>
      </c>
      <c r="D161" s="99">
        <f ca="1">IF(INDIRECT(ADDRESS(ROW('3'!BU$7),COLUMN('3'!BU$6)+ROW(A10)+$C$795,1,1,"3"))="","",INDIRECT(ADDRESS(ROW('3'!BU$7),COLUMN('3'!BU$6)+ROW(A10)+$C$795,1,1,"3")))</f>
        <v>1237640.790000001</v>
      </c>
      <c r="E161" s="99" t="str">
        <f ca="1">IF(INDIRECT(ADDRESS(ROW('3'!BU$7),COLUMN('3'!BU$6)+ROW(A10)+$D$795,1,1,"3"))="","",INDIRECT(ADDRESS(ROW('3'!BU$7),COLUMN('3'!BU$6)+ROW(A10)+$D$795,1,1,"3")))</f>
        <v/>
      </c>
      <c r="F161" s="98">
        <f t="shared" ca="1" si="21"/>
        <v>4.6799063489529003</v>
      </c>
      <c r="G161" s="98">
        <f t="shared" ca="1" si="22"/>
        <v>8.2302756539342816</v>
      </c>
      <c r="H161" s="98" t="str">
        <f t="shared" ca="1" si="23"/>
        <v/>
      </c>
      <c r="I161" s="89"/>
      <c r="J161" s="89"/>
    </row>
    <row r="162" spans="1:10">
      <c r="A162" s="97" t="s">
        <v>166</v>
      </c>
      <c r="B162" s="99">
        <f ca="1">IF(INDIRECT(ADDRESS(ROW('3'!BU$7),COLUMN('3'!BU$6)+ROW(A11)+$A$795,1,1,"3"))="","",INDIRECT(ADDRESS(ROW('3'!BU$7),COLUMN('3'!BU$6)+ROW(A11)+$A$795,1,1,"3")))</f>
        <v>1019073.949000001</v>
      </c>
      <c r="C162" s="99">
        <f ca="1">IF(INDIRECT(ADDRESS(ROW('3'!BU$7),COLUMN('3'!BU$6)+ROW(A11)+$B$795,1,1,"3"))="","",INDIRECT(ADDRESS(ROW('3'!BU$7),COLUMN('3'!BU$6)+ROW(A11)+$B$795,1,1,"3")))</f>
        <v>1134290.6260000002</v>
      </c>
      <c r="D162" s="99">
        <f ca="1">IF(INDIRECT(ADDRESS(ROW('3'!BU$7),COLUMN('3'!BU$6)+ROW(A11)+$C$795,1,1,"3"))="","",INDIRECT(ADDRESS(ROW('3'!BU$7),COLUMN('3'!BU$6)+ROW(A11)+$C$795,1,1,"3")))</f>
        <v>1207441.3959999997</v>
      </c>
      <c r="E162" s="99" t="str">
        <f ca="1">IF(INDIRECT(ADDRESS(ROW('3'!BU$7),COLUMN('3'!BU$6)+ROW(A11)+$D$795,1,1,"3"))="","",INDIRECT(ADDRESS(ROW('3'!BU$7),COLUMN('3'!BU$6)+ROW(A11)+$D$795,1,1,"3")))</f>
        <v/>
      </c>
      <c r="F162" s="98">
        <f t="shared" ca="1" si="21"/>
        <v>11.30601730257743</v>
      </c>
      <c r="G162" s="98">
        <f t="shared" ca="1" si="22"/>
        <v>6.4490324016835743</v>
      </c>
      <c r="H162" s="98" t="str">
        <f t="shared" ca="1" si="23"/>
        <v/>
      </c>
      <c r="I162" s="89"/>
      <c r="J162" s="89"/>
    </row>
    <row r="163" spans="1:10">
      <c r="A163" s="97" t="s">
        <v>167</v>
      </c>
      <c r="B163" s="99">
        <f ca="1">IF(INDIRECT(ADDRESS(ROW('3'!BU$7),COLUMN('3'!BU$6)+ROW(A12)+$A$795,1,1,"3"))="","",INDIRECT(ADDRESS(ROW('3'!BU$7),COLUMN('3'!BU$6)+ROW(A12)+$A$795,1,1,"3")))</f>
        <v>1172609.2300000004</v>
      </c>
      <c r="C163" s="99">
        <f ca="1">IF(INDIRECT(ADDRESS(ROW('3'!BU$7),COLUMN('3'!BU$6)+ROW(A12)+$B$795,1,1,"3"))="","",INDIRECT(ADDRESS(ROW('3'!BU$7),COLUMN('3'!BU$6)+ROW(A12)+$B$795,1,1,"3")))</f>
        <v>1313998.17</v>
      </c>
      <c r="D163" s="99">
        <f ca="1">IF(INDIRECT(ADDRESS(ROW('3'!BU$7),COLUMN('3'!BU$6)+ROW(A12)+$C$795,1,1,"3"))="","",INDIRECT(ADDRESS(ROW('3'!BU$7),COLUMN('3'!BU$6)+ROW(A12)+$C$795,1,1,"3")))</f>
        <v>1322799.3560000006</v>
      </c>
      <c r="E163" s="99" t="str">
        <f ca="1">IF(INDIRECT(ADDRESS(ROW('3'!BU$7),COLUMN('3'!BU$6)+ROW(A12)+$D$795,1,1,"3"))="","",INDIRECT(ADDRESS(ROW('3'!BU$7),COLUMN('3'!BU$6)+ROW(A12)+$D$795,1,1,"3")))</f>
        <v/>
      </c>
      <c r="F163" s="98">
        <f t="shared" ca="1" si="21"/>
        <v>12.057634920714321</v>
      </c>
      <c r="G163" s="98">
        <f t="shared" ca="1" si="22"/>
        <v>0.66980199827832987</v>
      </c>
      <c r="H163" s="98" t="str">
        <f t="shared" ca="1" si="23"/>
        <v/>
      </c>
      <c r="I163" s="89"/>
      <c r="J163" s="89"/>
    </row>
    <row r="164" spans="1:10">
      <c r="A164" s="108" t="s">
        <v>168</v>
      </c>
      <c r="B164" s="99">
        <f ca="1">SUM(B152:B163)</f>
        <v>12600415.595000001</v>
      </c>
      <c r="C164" s="99">
        <f ca="1">SUM(C152:C163)</f>
        <v>13583513.608999999</v>
      </c>
      <c r="D164" s="99">
        <f ca="1">SUM(D152:D163)</f>
        <v>14338753.335000001</v>
      </c>
      <c r="E164" s="99">
        <f ca="1">SUM(E152:E163)</f>
        <v>8642876.6980000008</v>
      </c>
      <c r="F164" s="98">
        <f ca="1">IFERROR((C164/B164-1)*100,"")</f>
        <v>7.8021078478562655</v>
      </c>
      <c r="G164" s="98">
        <f t="shared" ca="1" si="22"/>
        <v>5.5599732715665207</v>
      </c>
      <c r="H164" s="98">
        <f ca="1">IFERROR((E164/SUMIF(E152:E163,"&gt;0",D152:D163)/1)*100-100,"")</f>
        <v>6.2593518523222968</v>
      </c>
      <c r="I164" s="89"/>
      <c r="J164" s="89"/>
    </row>
    <row r="165" spans="1:10">
      <c r="A165" s="89"/>
      <c r="B165" s="89"/>
      <c r="C165" s="89"/>
      <c r="D165" s="89"/>
      <c r="E165" s="89"/>
      <c r="F165" s="89"/>
      <c r="G165" s="89"/>
      <c r="H165" s="89"/>
      <c r="I165" s="89"/>
      <c r="J165" s="89"/>
    </row>
    <row r="166" spans="1:10">
      <c r="A166" s="89"/>
      <c r="B166" s="89"/>
      <c r="C166" s="89"/>
      <c r="D166" s="89"/>
      <c r="E166" s="89"/>
      <c r="F166" s="89"/>
      <c r="G166" s="89"/>
      <c r="H166" s="89"/>
      <c r="I166" s="89"/>
      <c r="J166" s="89"/>
    </row>
    <row r="167" spans="1:10">
      <c r="A167" s="89"/>
      <c r="B167" s="89"/>
      <c r="C167" s="89"/>
      <c r="D167" s="89"/>
      <c r="E167" s="89"/>
      <c r="F167" s="89"/>
      <c r="G167" s="89"/>
      <c r="H167" s="89"/>
      <c r="I167" s="89"/>
      <c r="J167" s="89"/>
    </row>
    <row r="168" spans="1:10">
      <c r="A168" s="89"/>
      <c r="B168" s="89"/>
      <c r="C168" s="89"/>
      <c r="D168" s="89"/>
      <c r="E168" s="89"/>
      <c r="F168" s="89"/>
      <c r="G168" s="89"/>
      <c r="H168" s="89"/>
      <c r="I168" s="89"/>
      <c r="J168" s="89"/>
    </row>
    <row r="169" spans="1:10">
      <c r="A169" s="89"/>
      <c r="B169" s="89"/>
      <c r="C169" s="89"/>
      <c r="D169" s="89"/>
      <c r="E169" s="89"/>
      <c r="F169" s="89"/>
      <c r="G169" s="89"/>
      <c r="H169" s="89"/>
      <c r="I169" s="89"/>
      <c r="J169" s="89"/>
    </row>
    <row r="170" spans="1:10">
      <c r="A170" s="89"/>
      <c r="B170" s="89"/>
      <c r="C170" s="89"/>
      <c r="D170" s="89"/>
      <c r="E170" s="89"/>
      <c r="F170" s="89"/>
      <c r="G170" s="89"/>
      <c r="H170" s="89"/>
      <c r="I170" s="89"/>
      <c r="J170" s="89"/>
    </row>
    <row r="171" spans="1:10">
      <c r="A171" s="89"/>
      <c r="B171" s="89"/>
      <c r="C171" s="89"/>
      <c r="D171" s="89"/>
      <c r="E171" s="89"/>
      <c r="F171" s="89"/>
      <c r="G171" s="89"/>
      <c r="H171" s="89"/>
      <c r="I171" s="89"/>
      <c r="J171" s="89"/>
    </row>
    <row r="172" spans="1:10">
      <c r="A172" s="89"/>
      <c r="B172" s="89"/>
      <c r="C172" s="89"/>
      <c r="D172" s="89"/>
      <c r="E172" s="89"/>
      <c r="F172" s="89"/>
      <c r="G172" s="89"/>
      <c r="H172" s="89"/>
      <c r="I172" s="89"/>
      <c r="J172" s="89"/>
    </row>
    <row r="173" spans="1:10">
      <c r="A173" s="89"/>
      <c r="B173" s="89"/>
      <c r="C173" s="89"/>
      <c r="D173" s="89"/>
      <c r="E173" s="89"/>
      <c r="F173" s="89"/>
      <c r="G173" s="89"/>
      <c r="H173" s="89"/>
      <c r="I173" s="89"/>
      <c r="J173" s="89"/>
    </row>
    <row r="174" spans="1:10">
      <c r="A174" s="89"/>
      <c r="B174" s="89"/>
      <c r="C174" s="89"/>
      <c r="D174" s="89"/>
      <c r="E174" s="89"/>
      <c r="F174" s="89"/>
      <c r="G174" s="89"/>
      <c r="H174" s="89"/>
      <c r="I174" s="89"/>
      <c r="J174" s="89"/>
    </row>
    <row r="175" spans="1:10">
      <c r="A175" s="89"/>
      <c r="B175" s="89"/>
      <c r="C175" s="89"/>
      <c r="D175" s="89"/>
      <c r="E175" s="89"/>
      <c r="F175" s="89"/>
      <c r="G175" s="89"/>
      <c r="H175" s="89"/>
      <c r="I175" s="89"/>
      <c r="J175" s="89"/>
    </row>
    <row r="176" spans="1:10">
      <c r="A176" s="89"/>
      <c r="B176" s="89"/>
      <c r="C176" s="89"/>
      <c r="D176" s="89"/>
      <c r="E176" s="89"/>
      <c r="F176" s="89"/>
      <c r="G176" s="89"/>
      <c r="H176" s="89"/>
      <c r="I176" s="89"/>
      <c r="J176" s="89"/>
    </row>
    <row r="177" spans="1:45">
      <c r="A177" s="89"/>
      <c r="B177" s="89"/>
      <c r="C177" s="89"/>
      <c r="D177" s="89"/>
      <c r="E177" s="89"/>
      <c r="F177" s="89"/>
      <c r="G177" s="89"/>
      <c r="H177" s="89"/>
      <c r="I177" s="89"/>
      <c r="J177" s="89"/>
    </row>
    <row r="178" spans="1:45">
      <c r="A178" s="89"/>
      <c r="B178" s="89"/>
      <c r="C178" s="89"/>
      <c r="D178" s="89"/>
      <c r="E178" s="89"/>
      <c r="F178" s="89"/>
      <c r="G178" s="89"/>
      <c r="H178" s="89"/>
      <c r="I178" s="89"/>
      <c r="J178" s="89"/>
    </row>
    <row r="179" spans="1:45">
      <c r="A179" s="89"/>
      <c r="B179" s="89"/>
      <c r="C179" s="89"/>
      <c r="D179" s="89"/>
      <c r="E179" s="89"/>
      <c r="F179" s="89"/>
      <c r="G179" s="89"/>
      <c r="H179" s="89"/>
      <c r="I179" s="89"/>
      <c r="J179" s="89"/>
    </row>
    <row r="180" spans="1:45">
      <c r="A180" s="89"/>
      <c r="B180" s="89"/>
      <c r="C180" s="89"/>
      <c r="D180" s="89"/>
      <c r="E180" s="89"/>
      <c r="F180" s="89"/>
      <c r="G180" s="89"/>
      <c r="H180" s="89"/>
      <c r="I180" s="89"/>
      <c r="J180" s="89"/>
    </row>
    <row r="181" spans="1:45">
      <c r="A181" s="89"/>
      <c r="B181" s="89"/>
      <c r="C181" s="89"/>
      <c r="D181" s="89"/>
      <c r="E181" s="89"/>
      <c r="F181" s="89"/>
      <c r="G181" s="89"/>
      <c r="H181" s="89"/>
      <c r="I181" s="89"/>
      <c r="J181" s="89"/>
    </row>
    <row r="182" spans="1:45">
      <c r="A182" s="89"/>
      <c r="B182" s="89"/>
      <c r="C182" s="89"/>
      <c r="D182" s="89"/>
      <c r="E182" s="89"/>
      <c r="F182" s="89"/>
      <c r="G182" s="89"/>
      <c r="H182" s="89"/>
      <c r="I182" s="89"/>
      <c r="J182" s="89"/>
    </row>
    <row r="183" spans="1:45">
      <c r="A183" s="89"/>
      <c r="B183" s="89"/>
      <c r="C183" s="89"/>
      <c r="D183" s="89"/>
      <c r="E183" s="89"/>
      <c r="F183" s="89"/>
      <c r="G183" s="89"/>
      <c r="H183" s="89"/>
      <c r="I183" s="89"/>
      <c r="J183" s="89"/>
    </row>
    <row r="184" spans="1:45">
      <c r="A184" s="89"/>
      <c r="B184" s="89"/>
      <c r="C184" s="89"/>
      <c r="D184" s="89"/>
      <c r="E184" s="89"/>
      <c r="F184" s="89"/>
      <c r="G184" s="89"/>
      <c r="H184" s="89"/>
      <c r="I184" s="89"/>
      <c r="J184" s="89"/>
    </row>
    <row r="185" spans="1:45">
      <c r="A185" s="89"/>
      <c r="B185" s="89"/>
      <c r="C185" s="89"/>
      <c r="D185" s="89"/>
      <c r="E185" s="89"/>
      <c r="F185" s="89"/>
      <c r="G185" s="89"/>
      <c r="H185" s="89"/>
      <c r="I185" s="89"/>
      <c r="J185" s="89"/>
    </row>
    <row r="186" spans="1:45">
      <c r="A186" s="89"/>
      <c r="B186" s="89"/>
      <c r="C186" s="89"/>
      <c r="D186" s="89"/>
      <c r="E186" s="89"/>
      <c r="F186" s="89"/>
      <c r="G186" s="89"/>
      <c r="H186" s="89"/>
      <c r="I186" s="89"/>
      <c r="J186" s="89"/>
    </row>
    <row r="187" spans="1:45" ht="12.75" customHeight="1">
      <c r="A187" s="89"/>
      <c r="B187" s="89"/>
      <c r="C187" s="89"/>
      <c r="D187" s="89"/>
      <c r="E187" s="89"/>
      <c r="F187" s="89"/>
      <c r="G187" s="89"/>
      <c r="H187" s="89"/>
      <c r="I187" s="89"/>
      <c r="J187" s="89"/>
    </row>
    <row r="188" spans="1:45" s="28" customFormat="1">
      <c r="A188" s="89"/>
      <c r="B188" s="89"/>
      <c r="C188" s="89"/>
      <c r="D188" s="89"/>
      <c r="E188" s="89"/>
      <c r="F188" s="89"/>
      <c r="G188" s="89"/>
      <c r="H188" s="89"/>
      <c r="I188" s="89"/>
      <c r="J188" s="89"/>
      <c r="K188" s="29"/>
      <c r="L188" s="70"/>
      <c r="M188" s="70"/>
      <c r="N188" s="70"/>
      <c r="O188" s="70"/>
      <c r="P188" s="70"/>
      <c r="Q188" s="70"/>
      <c r="R188" s="70"/>
      <c r="S188" s="70"/>
      <c r="T188" s="70"/>
      <c r="U188" s="70"/>
      <c r="V188" s="70"/>
      <c r="W188" s="70"/>
      <c r="X188" s="70"/>
      <c r="Y188" s="70"/>
      <c r="Z188" s="70"/>
      <c r="AA188" s="70"/>
      <c r="AB188" s="70"/>
      <c r="AC188" s="72"/>
      <c r="AD188" s="72"/>
      <c r="AE188" s="72"/>
      <c r="AF188" s="72"/>
      <c r="AG188" s="72"/>
      <c r="AH188" s="72"/>
      <c r="AI188" s="72"/>
      <c r="AJ188" s="72"/>
      <c r="AK188" s="72"/>
      <c r="AL188" s="72"/>
      <c r="AM188" s="72"/>
      <c r="AN188" s="72"/>
      <c r="AO188" s="72"/>
      <c r="AP188" s="72"/>
      <c r="AQ188" s="72"/>
      <c r="AR188" s="72"/>
      <c r="AS188" s="72"/>
    </row>
    <row r="189" spans="1:45" s="28" customFormat="1" ht="15" customHeight="1">
      <c r="A189" s="404" t="s">
        <v>63</v>
      </c>
      <c r="B189" s="405"/>
      <c r="C189" s="405"/>
      <c r="D189" s="405"/>
      <c r="E189" s="405"/>
      <c r="F189" s="405"/>
      <c r="G189" s="405"/>
      <c r="H189" s="405"/>
      <c r="I189" s="405"/>
      <c r="J189" s="406"/>
      <c r="K189" s="29"/>
      <c r="L189" s="70"/>
      <c r="M189" s="70"/>
      <c r="N189" s="70"/>
      <c r="O189" s="70"/>
      <c r="P189" s="70"/>
      <c r="Q189" s="70"/>
      <c r="R189" s="70"/>
      <c r="S189" s="70"/>
      <c r="T189" s="70"/>
      <c r="U189" s="70"/>
      <c r="V189" s="70"/>
      <c r="W189" s="70"/>
      <c r="X189" s="70"/>
      <c r="Y189" s="70"/>
      <c r="Z189" s="70"/>
      <c r="AA189" s="70"/>
      <c r="AB189" s="70"/>
      <c r="AC189" s="72"/>
      <c r="AD189" s="72"/>
      <c r="AE189" s="72"/>
      <c r="AF189" s="72"/>
      <c r="AG189" s="72"/>
      <c r="AH189" s="72"/>
      <c r="AI189" s="72"/>
      <c r="AJ189" s="72"/>
      <c r="AK189" s="72"/>
      <c r="AL189" s="72"/>
      <c r="AM189" s="72"/>
      <c r="AN189" s="72"/>
      <c r="AO189" s="72"/>
      <c r="AP189" s="72"/>
      <c r="AQ189" s="72"/>
      <c r="AR189" s="72"/>
      <c r="AS189" s="72"/>
    </row>
    <row r="190" spans="1:45">
      <c r="A190" s="90" t="s">
        <v>30</v>
      </c>
      <c r="B190" s="102"/>
      <c r="C190" s="103" t="s">
        <v>53</v>
      </c>
      <c r="D190" s="104"/>
      <c r="E190" s="105"/>
      <c r="F190" s="103" t="s">
        <v>54</v>
      </c>
      <c r="G190" s="104"/>
      <c r="H190" s="105"/>
      <c r="I190" s="103" t="s">
        <v>55</v>
      </c>
      <c r="J190" s="104"/>
    </row>
    <row r="191" spans="1:45">
      <c r="A191" s="92">
        <v>1</v>
      </c>
      <c r="B191" s="93">
        <v>2</v>
      </c>
      <c r="C191" s="93">
        <v>3</v>
      </c>
      <c r="D191" s="93">
        <v>4</v>
      </c>
      <c r="E191" s="93">
        <v>5</v>
      </c>
      <c r="F191" s="93">
        <v>6</v>
      </c>
      <c r="G191" s="93">
        <v>7</v>
      </c>
      <c r="H191" s="106" t="s">
        <v>70</v>
      </c>
      <c r="I191" s="106" t="s">
        <v>71</v>
      </c>
      <c r="J191" s="106" t="s">
        <v>72</v>
      </c>
    </row>
    <row r="192" spans="1:45">
      <c r="A192" s="94"/>
      <c r="B192" s="93" t="s">
        <v>62</v>
      </c>
      <c r="C192" s="93" t="s">
        <v>51</v>
      </c>
      <c r="D192" s="93" t="s">
        <v>31</v>
      </c>
      <c r="E192" s="93" t="s">
        <v>62</v>
      </c>
      <c r="F192" s="93" t="s">
        <v>51</v>
      </c>
      <c r="G192" s="93" t="s">
        <v>31</v>
      </c>
      <c r="H192" s="93" t="s">
        <v>62</v>
      </c>
      <c r="I192" s="93" t="s">
        <v>51</v>
      </c>
      <c r="J192" s="93" t="s">
        <v>31</v>
      </c>
    </row>
    <row r="193" spans="1:10">
      <c r="A193" s="95"/>
      <c r="B193" s="107">
        <v>2024</v>
      </c>
      <c r="C193" s="107">
        <v>2025</v>
      </c>
      <c r="D193" s="107">
        <v>2026</v>
      </c>
      <c r="E193" s="107">
        <v>2024</v>
      </c>
      <c r="F193" s="107">
        <v>2025</v>
      </c>
      <c r="G193" s="107">
        <v>2026</v>
      </c>
      <c r="H193" s="107">
        <v>2024</v>
      </c>
      <c r="I193" s="107">
        <v>2025</v>
      </c>
      <c r="J193" s="107">
        <v>2026</v>
      </c>
    </row>
    <row r="194" spans="1:10">
      <c r="A194" s="97" t="s">
        <v>156</v>
      </c>
      <c r="B194" s="99">
        <f ca="1">IF(INDIRECT(ADDRESS(ROW('3'!BU$24),COLUMN('3'!BU$6)+ROW(A1)+$B$795,1,1,"3"))="","",INDIRECT(ADDRESS(ROW('3'!BU$24),COLUMN('3'!BU$6)+ROW(A1)+$B$795,1,1,"3")))</f>
        <v>921874.01300000004</v>
      </c>
      <c r="C194" s="99">
        <f ca="1">IF(INDIRECT(ADDRESS(ROW('3'!BU$24),COLUMN('3'!BU$6)+ROW(A1)+$C$795,1,1,"3"))="","",INDIRECT(ADDRESS(ROW('3'!BU$24),COLUMN('3'!BU$6)+ROW(A1)+$C$795,1,1,"3")))</f>
        <v>821224.52960000001</v>
      </c>
      <c r="D194" s="99">
        <f ca="1">IF(INDIRECT(ADDRESS(ROW('3'!BU$24),COLUMN('3'!BU$6)+ROW(A1)+$D$795,1,1,"3"))="","",INDIRECT(ADDRESS(ROW('3'!BU$24),COLUMN('3'!BU$6)+ROW(A1)+$D$795,1,1,"3")))</f>
        <v>834086.23502000002</v>
      </c>
      <c r="E194" s="99">
        <f ca="1">IF(INDIRECT(ADDRESS(ROW('3'!BU$25),COLUMN('3'!BU$6)+ROW(A1)+$B$795,1,1,"3"))="","",INDIRECT(ADDRESS(ROW('3'!BU$25),COLUMN('3'!BU$6)+ROW(A1)+$B$795,1,1,"3")))</f>
        <v>809894.40800000005</v>
      </c>
      <c r="F194" s="99">
        <f ca="1">IF(INDIRECT(ADDRESS(ROW('3'!BU$25),COLUMN('3'!BU$6)+ROW(A1)+$C$795,1,1,"3"))="","",INDIRECT(ADDRESS(ROW('3'!BU$25),COLUMN('3'!BU$6)+ROW(A1)+$C$795,1,1,"3")))</f>
        <v>947223.47174000007</v>
      </c>
      <c r="G194" s="99">
        <f ca="1">IF(INDIRECT(ADDRESS(ROW('3'!BU$25),COLUMN('3'!BU$6)+ROW(A1)+$D$795,1,1,"3"))="","",INDIRECT(ADDRESS(ROW('3'!BU$25),COLUMN('3'!BU$6)+ROW(A1)+$D$795,1,1,"3")))</f>
        <v>1084422.9634</v>
      </c>
      <c r="H194" s="99">
        <f ca="1">IFERROR(B194-E194,"")</f>
        <v>111979.60499999998</v>
      </c>
      <c r="I194" s="99">
        <f ca="1">IFERROR(C194-F194,"")</f>
        <v>-125998.94214000006</v>
      </c>
      <c r="J194" s="99">
        <f ca="1">IFERROR(D194-G194,"")</f>
        <v>-250336.72837999999</v>
      </c>
    </row>
    <row r="195" spans="1:10">
      <c r="A195" s="97" t="s">
        <v>157</v>
      </c>
      <c r="B195" s="99">
        <f ca="1">IF(INDIRECT(ADDRESS(ROW('3'!BU$24),COLUMN('3'!BU$6)+ROW(A2)+$B$795,1,1,"3"))="","",INDIRECT(ADDRESS(ROW('3'!BU$24),COLUMN('3'!BU$6)+ROW(A2)+$B$795,1,1,"3")))</f>
        <v>745501.69200000004</v>
      </c>
      <c r="C195" s="99">
        <f ca="1">IF(INDIRECT(ADDRESS(ROW('3'!BU$24),COLUMN('3'!BU$6)+ROW(A2)+$C$795,1,1,"3"))="","",INDIRECT(ADDRESS(ROW('3'!BU$24),COLUMN('3'!BU$6)+ROW(A2)+$C$795,1,1,"3")))</f>
        <v>845118.13847999997</v>
      </c>
      <c r="D195" s="99">
        <f ca="1">IF(INDIRECT(ADDRESS(ROW('3'!BU$24),COLUMN('3'!BU$6)+ROW(A2)+$D$795,1,1,"3"))="","",INDIRECT(ADDRESS(ROW('3'!BU$24),COLUMN('3'!BU$6)+ROW(A2)+$D$795,1,1,"3")))</f>
        <v>1392742.4127699998</v>
      </c>
      <c r="E195" s="99">
        <f ca="1">IF(INDIRECT(ADDRESS(ROW('3'!BU$25),COLUMN('3'!BU$6)+ROW(A2)+$B$795,1,1,"3"))="","",INDIRECT(ADDRESS(ROW('3'!BU$25),COLUMN('3'!BU$6)+ROW(A2)+$B$795,1,1,"3")))</f>
        <v>879752.527</v>
      </c>
      <c r="F195" s="99">
        <f ca="1">IF(INDIRECT(ADDRESS(ROW('3'!BU$25),COLUMN('3'!BU$6)+ROW(A2)+$C$795,1,1,"3"))="","",INDIRECT(ADDRESS(ROW('3'!BU$25),COLUMN('3'!BU$6)+ROW(A2)+$C$795,1,1,"3")))</f>
        <v>992197.92921999993</v>
      </c>
      <c r="G195" s="99">
        <f ca="1">IF(INDIRECT(ADDRESS(ROW('3'!BU$25),COLUMN('3'!BU$6)+ROW(A2)+$D$795,1,1,"3"))="","",INDIRECT(ADDRESS(ROW('3'!BU$25),COLUMN('3'!BU$6)+ROW(A2)+$D$795,1,1,"3")))</f>
        <v>986399.3014</v>
      </c>
      <c r="H195" s="99">
        <f t="shared" ref="H195:H205" ca="1" si="24">IFERROR(B195-E195,"")</f>
        <v>-134250.83499999996</v>
      </c>
      <c r="I195" s="99">
        <f t="shared" ref="I195:I205" ca="1" si="25">IFERROR(C195-F195,"")</f>
        <v>-147079.79073999997</v>
      </c>
      <c r="J195" s="99">
        <f t="shared" ref="J195:J205" ca="1" si="26">IFERROR(D195-G195,"")</f>
        <v>406343.11136999982</v>
      </c>
    </row>
    <row r="196" spans="1:10">
      <c r="A196" s="97" t="s">
        <v>158</v>
      </c>
      <c r="B196" s="99">
        <f ca="1">IF(INDIRECT(ADDRESS(ROW('3'!BU$24),COLUMN('3'!BU$6)+ROW(A3)+$B$795,1,1,"3"))="","",INDIRECT(ADDRESS(ROW('3'!BU$24),COLUMN('3'!BU$6)+ROW(A3)+$B$795,1,1,"3")))</f>
        <v>701863.54900000012</v>
      </c>
      <c r="C196" s="99">
        <f ca="1">IF(INDIRECT(ADDRESS(ROW('3'!BU$24),COLUMN('3'!BU$6)+ROW(A3)+$C$795,1,1,"3"))="","",INDIRECT(ADDRESS(ROW('3'!BU$24),COLUMN('3'!BU$6)+ROW(A3)+$C$795,1,1,"3")))</f>
        <v>541443.01641000039</v>
      </c>
      <c r="D196" s="99">
        <f ca="1">IF(INDIRECT(ADDRESS(ROW('3'!BU$24),COLUMN('3'!BU$6)+ROW(A3)+$D$795,1,1,"3"))="","",INDIRECT(ADDRESS(ROW('3'!BU$24),COLUMN('3'!BU$6)+ROW(A3)+$D$795,1,1,"3")))</f>
        <v>588517.87928000046</v>
      </c>
      <c r="E196" s="99">
        <f ca="1">IF(INDIRECT(ADDRESS(ROW('3'!BU$25),COLUMN('3'!BU$6)+ROW(A3)+$B$795,1,1,"3"))="","",INDIRECT(ADDRESS(ROW('3'!BU$25),COLUMN('3'!BU$6)+ROW(A3)+$B$795,1,1,"3")))</f>
        <v>805671.92599999998</v>
      </c>
      <c r="F196" s="99">
        <f ca="1">IF(INDIRECT(ADDRESS(ROW('3'!BU$25),COLUMN('3'!BU$6)+ROW(A3)+$C$795,1,1,"3"))="","",INDIRECT(ADDRESS(ROW('3'!BU$25),COLUMN('3'!BU$6)+ROW(A3)+$C$795,1,1,"3")))</f>
        <v>1035654.5327599996</v>
      </c>
      <c r="G196" s="99">
        <f ca="1">IF(INDIRECT(ADDRESS(ROW('3'!BU$25),COLUMN('3'!BU$6)+ROW(A3)+$D$795,1,1,"3"))="","",INDIRECT(ADDRESS(ROW('3'!BU$25),COLUMN('3'!BU$6)+ROW(A3)+$D$795,1,1,"3")))</f>
        <v>1016556.1669800002</v>
      </c>
      <c r="H196" s="99">
        <f t="shared" ca="1" si="24"/>
        <v>-103808.37699999986</v>
      </c>
      <c r="I196" s="99">
        <f t="shared" ca="1" si="25"/>
        <v>-494211.51634999923</v>
      </c>
      <c r="J196" s="99">
        <f t="shared" ca="1" si="26"/>
        <v>-428038.28769999975</v>
      </c>
    </row>
    <row r="197" spans="1:10">
      <c r="A197" s="97" t="s">
        <v>159</v>
      </c>
      <c r="B197" s="99">
        <f ca="1">IF(INDIRECT(ADDRESS(ROW('3'!BU$24),COLUMN('3'!BU$6)+ROW(A4)+$B$795,1,1,"3"))="","",INDIRECT(ADDRESS(ROW('3'!BU$24),COLUMN('3'!BU$6)+ROW(A4)+$B$795,1,1,"3")))</f>
        <v>828734.15099999961</v>
      </c>
      <c r="C197" s="99">
        <f ca="1">IF(INDIRECT(ADDRESS(ROW('3'!BU$24),COLUMN('3'!BU$6)+ROW(A4)+$C$795,1,1,"3"))="","",INDIRECT(ADDRESS(ROW('3'!BU$24),COLUMN('3'!BU$6)+ROW(A4)+$C$795,1,1,"3")))</f>
        <v>810168.96401999984</v>
      </c>
      <c r="D197" s="99">
        <f ca="1">IF(INDIRECT(ADDRESS(ROW('3'!BU$24),COLUMN('3'!BU$6)+ROW(A4)+$D$795,1,1,"3"))="","",INDIRECT(ADDRESS(ROW('3'!BU$24),COLUMN('3'!BU$6)+ROW(A4)+$D$795,1,1,"3")))</f>
        <v>783290.9747999995</v>
      </c>
      <c r="E197" s="99">
        <f ca="1">IF(INDIRECT(ADDRESS(ROW('3'!BU$25),COLUMN('3'!BU$6)+ROW(A4)+$B$795,1,1,"3"))="","",INDIRECT(ADDRESS(ROW('3'!BU$25),COLUMN('3'!BU$6)+ROW(A4)+$B$795,1,1,"3")))</f>
        <v>1076388.2510000002</v>
      </c>
      <c r="F197" s="99">
        <f ca="1">IF(INDIRECT(ADDRESS(ROW('3'!BU$25),COLUMN('3'!BU$6)+ROW(A4)+$C$795,1,1,"3"))="","",INDIRECT(ADDRESS(ROW('3'!BU$25),COLUMN('3'!BU$6)+ROW(A4)+$C$795,1,1,"3")))</f>
        <v>1028097.9180900003</v>
      </c>
      <c r="G197" s="99">
        <f ca="1">IF(INDIRECT(ADDRESS(ROW('3'!BU$25),COLUMN('3'!BU$6)+ROW(A4)+$D$795,1,1,"3"))="","",INDIRECT(ADDRESS(ROW('3'!BU$25),COLUMN('3'!BU$6)+ROW(A4)+$D$795,1,1,"3")))</f>
        <v>932487.56950000022</v>
      </c>
      <c r="H197" s="99">
        <f t="shared" ca="1" si="24"/>
        <v>-247654.10000000056</v>
      </c>
      <c r="I197" s="99">
        <f t="shared" ca="1" si="25"/>
        <v>-217928.95407000044</v>
      </c>
      <c r="J197" s="99">
        <f t="shared" ca="1" si="26"/>
        <v>-149196.59470000071</v>
      </c>
    </row>
    <row r="198" spans="1:10">
      <c r="A198" s="97" t="s">
        <v>160</v>
      </c>
      <c r="B198" s="99">
        <f ca="1">IF(INDIRECT(ADDRESS(ROW('3'!BU$24),COLUMN('3'!BU$6)+ROW(A5)+$B$795,1,1,"3"))="","",INDIRECT(ADDRESS(ROW('3'!BU$24),COLUMN('3'!BU$6)+ROW(A5)+$B$795,1,1,"3")))</f>
        <v>1112888.0019999999</v>
      </c>
      <c r="C198" s="99">
        <f ca="1">IF(INDIRECT(ADDRESS(ROW('3'!BU$24),COLUMN('3'!BU$6)+ROW(A5)+$C$795,1,1,"3"))="","",INDIRECT(ADDRESS(ROW('3'!BU$24),COLUMN('3'!BU$6)+ROW(A5)+$C$795,1,1,"3")))</f>
        <v>1133027.2438799995</v>
      </c>
      <c r="D198" s="99">
        <f ca="1">IF(INDIRECT(ADDRESS(ROW('3'!BU$24),COLUMN('3'!BU$6)+ROW(A5)+$D$795,1,1,"3"))="","",INDIRECT(ADDRESS(ROW('3'!BU$24),COLUMN('3'!BU$6)+ROW(A5)+$D$795,1,1,"3")))</f>
        <v>1205589.7364000008</v>
      </c>
      <c r="E198" s="99">
        <f ca="1">IF(INDIRECT(ADDRESS(ROW('3'!BU$25),COLUMN('3'!BU$6)+ROW(A5)+$B$795,1,1,"3"))="","",INDIRECT(ADDRESS(ROW('3'!BU$25),COLUMN('3'!BU$6)+ROW(A5)+$B$795,1,1,"3")))</f>
        <v>783793.17400000012</v>
      </c>
      <c r="F198" s="99">
        <f ca="1">IF(INDIRECT(ADDRESS(ROW('3'!BU$25),COLUMN('3'!BU$6)+ROW(A5)+$C$795,1,1,"3"))="","",INDIRECT(ADDRESS(ROW('3'!BU$25),COLUMN('3'!BU$6)+ROW(A5)+$C$795,1,1,"3")))</f>
        <v>904831.5170099996</v>
      </c>
      <c r="G198" s="99">
        <f ca="1">IF(INDIRECT(ADDRESS(ROW('3'!BU$25),COLUMN('3'!BU$6)+ROW(A5)+$D$795,1,1,"3"))="","",INDIRECT(ADDRESS(ROW('3'!BU$25),COLUMN('3'!BU$6)+ROW(A5)+$D$795,1,1,"3")))</f>
        <v>990503.34266999923</v>
      </c>
      <c r="H198" s="99">
        <f t="shared" ca="1" si="24"/>
        <v>329094.82799999975</v>
      </c>
      <c r="I198" s="99">
        <f t="shared" ca="1" si="25"/>
        <v>228195.7268699999</v>
      </c>
      <c r="J198" s="99">
        <f t="shared" ca="1" si="26"/>
        <v>215086.39373000152</v>
      </c>
    </row>
    <row r="199" spans="1:10">
      <c r="A199" s="97" t="s">
        <v>161</v>
      </c>
      <c r="B199" s="99">
        <f ca="1">IF(INDIRECT(ADDRESS(ROW('3'!BU$24),COLUMN('3'!BU$6)+ROW(A6)+$B$795,1,1,"3"))="","",INDIRECT(ADDRESS(ROW('3'!BU$24),COLUMN('3'!BU$6)+ROW(A6)+$B$795,1,1,"3")))</f>
        <v>1214401.3590000002</v>
      </c>
      <c r="C199" s="99">
        <f ca="1">IF(INDIRECT(ADDRESS(ROW('3'!BU$24),COLUMN('3'!BU$6)+ROW(A6)+$C$795,1,1,"3"))="","",INDIRECT(ADDRESS(ROW('3'!BU$24),COLUMN('3'!BU$6)+ROW(A6)+$C$795,1,1,"3")))</f>
        <v>1117744.1013000002</v>
      </c>
      <c r="D199" s="99">
        <f ca="1">IF(INDIRECT(ADDRESS(ROW('3'!BU$24),COLUMN('3'!BU$6)+ROW(A6)+$D$795,1,1,"3"))="","",INDIRECT(ADDRESS(ROW('3'!BU$24),COLUMN('3'!BU$6)+ROW(A6)+$D$795,1,1,"3")))</f>
        <v>1119878.0918799993</v>
      </c>
      <c r="E199" s="99">
        <f ca="1">IF(INDIRECT(ADDRESS(ROW('3'!BU$25),COLUMN('3'!BU$6)+ROW(A6)+$B$795,1,1,"3"))="","",INDIRECT(ADDRESS(ROW('3'!BU$25),COLUMN('3'!BU$6)+ROW(A6)+$B$795,1,1,"3")))</f>
        <v>913333.06599999964</v>
      </c>
      <c r="F199" s="99">
        <f ca="1">IF(INDIRECT(ADDRESS(ROW('3'!BU$25),COLUMN('3'!BU$6)+ROW(A6)+$C$795,1,1,"3"))="","",INDIRECT(ADDRESS(ROW('3'!BU$25),COLUMN('3'!BU$6)+ROW(A6)+$C$795,1,1,"3")))</f>
        <v>1053602.7097500004</v>
      </c>
      <c r="G199" s="99">
        <f ca="1">IF(INDIRECT(ADDRESS(ROW('3'!BU$25),COLUMN('3'!BU$6)+ROW(A6)+$D$795,1,1,"3"))="","",INDIRECT(ADDRESS(ROW('3'!BU$25),COLUMN('3'!BU$6)+ROW(A6)+$D$795,1,1,"3")))</f>
        <v>1090422.9437600002</v>
      </c>
      <c r="H199" s="99">
        <f t="shared" ca="1" si="24"/>
        <v>301068.29300000053</v>
      </c>
      <c r="I199" s="99">
        <f t="shared" ca="1" si="25"/>
        <v>64141.391549999826</v>
      </c>
      <c r="J199" s="99">
        <f t="shared" ca="1" si="26"/>
        <v>29455.148119999096</v>
      </c>
    </row>
    <row r="200" spans="1:10">
      <c r="A200" s="97" t="s">
        <v>162</v>
      </c>
      <c r="B200" s="99">
        <f ca="1">IF(INDIRECT(ADDRESS(ROW('3'!BU$24),COLUMN('3'!BU$6)+ROW(A7)+$B$795,1,1,"3"))="","",INDIRECT(ADDRESS(ROW('3'!BU$24),COLUMN('3'!BU$6)+ROW(A7)+$B$795,1,1,"3")))</f>
        <v>876243.38400000054</v>
      </c>
      <c r="C200" s="99">
        <f ca="1">IF(INDIRECT(ADDRESS(ROW('3'!BU$24),COLUMN('3'!BU$6)+ROW(A7)+$C$795,1,1,"3"))="","",INDIRECT(ADDRESS(ROW('3'!BU$24),COLUMN('3'!BU$6)+ROW(A7)+$C$795,1,1,"3")))</f>
        <v>765816.7826000005</v>
      </c>
      <c r="D200" s="99">
        <f ca="1">IF(INDIRECT(ADDRESS(ROW('3'!BU$24),COLUMN('3'!BU$6)+ROW(A7)+$D$795,1,1,"3"))="","",INDIRECT(ADDRESS(ROW('3'!BU$24),COLUMN('3'!BU$6)+ROW(A7)+$D$795,1,1,"3")))</f>
        <v>840241.00327000022</v>
      </c>
      <c r="E200" s="99">
        <f ca="1">IF(INDIRECT(ADDRESS(ROW('3'!BU$25),COLUMN('3'!BU$6)+ROW(A7)+$B$795,1,1,"3"))="","",INDIRECT(ADDRESS(ROW('3'!BU$25),COLUMN('3'!BU$6)+ROW(A7)+$B$795,1,1,"3")))</f>
        <v>919897.35099999979</v>
      </c>
      <c r="F200" s="99">
        <f ca="1">IF(INDIRECT(ADDRESS(ROW('3'!BU$25),COLUMN('3'!BU$6)+ROW(A7)+$C$795,1,1,"3"))="","",INDIRECT(ADDRESS(ROW('3'!BU$25),COLUMN('3'!BU$6)+ROW(A7)+$C$795,1,1,"3")))</f>
        <v>960064.15614000056</v>
      </c>
      <c r="G200" s="99">
        <f ca="1">IF(INDIRECT(ADDRESS(ROW('3'!BU$25),COLUMN('3'!BU$6)+ROW(A7)+$D$795,1,1,"3"))="","",INDIRECT(ADDRESS(ROW('3'!BU$25),COLUMN('3'!BU$6)+ROW(A7)+$D$795,1,1,"3")))</f>
        <v>1076637.1212200001</v>
      </c>
      <c r="H200" s="99">
        <f t="shared" ca="1" si="24"/>
        <v>-43653.966999999247</v>
      </c>
      <c r="I200" s="99">
        <f t="shared" ca="1" si="25"/>
        <v>-194247.37354000006</v>
      </c>
      <c r="J200" s="99">
        <f t="shared" ca="1" si="26"/>
        <v>-236396.11794999987</v>
      </c>
    </row>
    <row r="201" spans="1:10">
      <c r="A201" s="97" t="s">
        <v>163</v>
      </c>
      <c r="B201" s="99">
        <f ca="1">IF(INDIRECT(ADDRESS(ROW('3'!BU$24),COLUMN('3'!BU$6)+ROW(A8)+$B$795,1,1,"3"))="","",INDIRECT(ADDRESS(ROW('3'!BU$24),COLUMN('3'!BU$6)+ROW(A8)+$B$795,1,1,"3")))</f>
        <v>715432.98199999984</v>
      </c>
      <c r="C201" s="99">
        <f ca="1">IF(INDIRECT(ADDRESS(ROW('3'!BU$24),COLUMN('3'!BU$6)+ROW(A8)+$C$795,1,1,"3"))="","",INDIRECT(ADDRESS(ROW('3'!BU$24),COLUMN('3'!BU$6)+ROW(A8)+$C$795,1,1,"3")))</f>
        <v>900524.82335999887</v>
      </c>
      <c r="D201" s="99" t="str">
        <f ca="1">IF(INDIRECT(ADDRESS(ROW('3'!BU$24),COLUMN('3'!BU$6)+ROW(A8)+$D$795,1,1,"3"))="","",INDIRECT(ADDRESS(ROW('3'!BU$24),COLUMN('3'!BU$6)+ROW(A8)+$D$795,1,1,"3")))</f>
        <v/>
      </c>
      <c r="E201" s="99">
        <f ca="1">IF(INDIRECT(ADDRESS(ROW('3'!BU$25),COLUMN('3'!BU$6)+ROW(A8)+$B$795,1,1,"3"))="","",INDIRECT(ADDRESS(ROW('3'!BU$25),COLUMN('3'!BU$6)+ROW(A8)+$B$795,1,1,"3")))</f>
        <v>731294.85800000001</v>
      </c>
      <c r="F201" s="99">
        <f ca="1">IF(INDIRECT(ADDRESS(ROW('3'!BU$25),COLUMN('3'!BU$6)+ROW(A8)+$C$795,1,1,"3"))="","",INDIRECT(ADDRESS(ROW('3'!BU$25),COLUMN('3'!BU$6)+ROW(A8)+$C$795,1,1,"3")))</f>
        <v>824974.24048999976</v>
      </c>
      <c r="G201" s="99" t="str">
        <f ca="1">IF(INDIRECT(ADDRESS(ROW('3'!BU$25),COLUMN('3'!BU$6)+ROW(A8)+$D$795,1,1,"3"))="","",INDIRECT(ADDRESS(ROW('3'!BU$25),COLUMN('3'!BU$6)+ROW(A8)+$D$795,1,1,"3")))</f>
        <v/>
      </c>
      <c r="H201" s="99">
        <f t="shared" ca="1" si="24"/>
        <v>-15861.876000000164</v>
      </c>
      <c r="I201" s="99">
        <f t="shared" ca="1" si="25"/>
        <v>75550.582869999111</v>
      </c>
      <c r="J201" s="99" t="str">
        <f t="shared" ca="1" si="26"/>
        <v/>
      </c>
    </row>
    <row r="202" spans="1:10">
      <c r="A202" s="97" t="s">
        <v>164</v>
      </c>
      <c r="B202" s="99">
        <f ca="1">IF(INDIRECT(ADDRESS(ROW('3'!BU$24),COLUMN('3'!BU$6)+ROW(A9)+$B$795,1,1,"3"))="","",INDIRECT(ADDRESS(ROW('3'!BU$24),COLUMN('3'!BU$6)+ROW(A9)+$B$795,1,1,"3")))</f>
        <v>684282.52099999972</v>
      </c>
      <c r="C202" s="99">
        <f ca="1">IF(INDIRECT(ADDRESS(ROW('3'!BU$24),COLUMN('3'!BU$6)+ROW(A9)+$C$795,1,1,"3"))="","",INDIRECT(ADDRESS(ROW('3'!BU$24),COLUMN('3'!BU$6)+ROW(A9)+$C$795,1,1,"3")))</f>
        <v>667612.6850800002</v>
      </c>
      <c r="D202" s="99" t="str">
        <f ca="1">IF(INDIRECT(ADDRESS(ROW('3'!BU$24),COLUMN('3'!BU$6)+ROW(A9)+$D$795,1,1,"3"))="","",INDIRECT(ADDRESS(ROW('3'!BU$24),COLUMN('3'!BU$6)+ROW(A9)+$D$795,1,1,"3")))</f>
        <v/>
      </c>
      <c r="E202" s="99">
        <f ca="1">IF(INDIRECT(ADDRESS(ROW('3'!BU$25),COLUMN('3'!BU$6)+ROW(A9)+$B$795,1,1,"3"))="","",INDIRECT(ADDRESS(ROW('3'!BU$25),COLUMN('3'!BU$6)+ROW(A9)+$B$795,1,1,"3")))</f>
        <v>759501.68300000019</v>
      </c>
      <c r="F202" s="99">
        <f ca="1">IF(INDIRECT(ADDRESS(ROW('3'!BU$25),COLUMN('3'!BU$6)+ROW(A9)+$C$795,1,1,"3"))="","",INDIRECT(ADDRESS(ROW('3'!BU$25),COLUMN('3'!BU$6)+ROW(A9)+$C$795,1,1,"3")))</f>
        <v>966256.08107999992</v>
      </c>
      <c r="G202" s="99" t="str">
        <f ca="1">IF(INDIRECT(ADDRESS(ROW('3'!BU$25),COLUMN('3'!BU$6)+ROW(A9)+$D$795,1,1,"3"))="","",INDIRECT(ADDRESS(ROW('3'!BU$25),COLUMN('3'!BU$6)+ROW(A9)+$D$795,1,1,"3")))</f>
        <v/>
      </c>
      <c r="H202" s="99">
        <f t="shared" ca="1" si="24"/>
        <v>-75219.162000000477</v>
      </c>
      <c r="I202" s="99">
        <f t="shared" ca="1" si="25"/>
        <v>-298643.39599999972</v>
      </c>
      <c r="J202" s="99" t="str">
        <f t="shared" ca="1" si="26"/>
        <v/>
      </c>
    </row>
    <row r="203" spans="1:10">
      <c r="A203" s="97" t="s">
        <v>165</v>
      </c>
      <c r="B203" s="99">
        <f ca="1">IF(INDIRECT(ADDRESS(ROW('3'!BU$24),COLUMN('3'!BU$6)+ROW(A10)+$B$795,1,1,"3"))="","",INDIRECT(ADDRESS(ROW('3'!BU$24),COLUMN('3'!BU$6)+ROW(A10)+$B$795,1,1,"3")))</f>
        <v>685390.35200000089</v>
      </c>
      <c r="C203" s="99">
        <f ca="1">IF(INDIRECT(ADDRESS(ROW('3'!BU$24),COLUMN('3'!BU$6)+ROW(A10)+$C$795,1,1,"3"))="","",INDIRECT(ADDRESS(ROW('3'!BU$24),COLUMN('3'!BU$6)+ROW(A10)+$C$795,1,1,"3")))</f>
        <v>692132.44983000122</v>
      </c>
      <c r="D203" s="99" t="str">
        <f ca="1">IF(INDIRECT(ADDRESS(ROW('3'!BU$24),COLUMN('3'!BU$6)+ROW(A10)+$D$795,1,1,"3"))="","",INDIRECT(ADDRESS(ROW('3'!BU$24),COLUMN('3'!BU$6)+ROW(A10)+$D$795,1,1,"3")))</f>
        <v/>
      </c>
      <c r="E203" s="99">
        <f ca="1">IF(INDIRECT(ADDRESS(ROW('3'!BU$25),COLUMN('3'!BU$6)+ROW(A10)+$B$795,1,1,"3"))="","",INDIRECT(ADDRESS(ROW('3'!BU$25),COLUMN('3'!BU$6)+ROW(A10)+$B$795,1,1,"3")))</f>
        <v>1004326.5670000007</v>
      </c>
      <c r="F203" s="99">
        <f ca="1">IF(INDIRECT(ADDRESS(ROW('3'!BU$25),COLUMN('3'!BU$6)+ROW(A10)+$C$795,1,1,"3"))="","",INDIRECT(ADDRESS(ROW('3'!BU$25),COLUMN('3'!BU$6)+ROW(A10)+$C$795,1,1,"3")))</f>
        <v>1046493.8330800012</v>
      </c>
      <c r="G203" s="99" t="str">
        <f ca="1">IF(INDIRECT(ADDRESS(ROW('3'!BU$25),COLUMN('3'!BU$6)+ROW(A10)+$D$795,1,1,"3"))="","",INDIRECT(ADDRESS(ROW('3'!BU$25),COLUMN('3'!BU$6)+ROW(A10)+$D$795,1,1,"3")))</f>
        <v/>
      </c>
      <c r="H203" s="99">
        <f t="shared" ca="1" si="24"/>
        <v>-318936.21499999985</v>
      </c>
      <c r="I203" s="99">
        <f t="shared" ca="1" si="25"/>
        <v>-354361.38324999996</v>
      </c>
      <c r="J203" s="99" t="str">
        <f t="shared" ca="1" si="26"/>
        <v/>
      </c>
    </row>
    <row r="204" spans="1:10">
      <c r="A204" s="97" t="s">
        <v>166</v>
      </c>
      <c r="B204" s="99">
        <f ca="1">IF(INDIRECT(ADDRESS(ROW('3'!BU$24),COLUMN('3'!BU$6)+ROW(A11)+$B$795,1,1,"3"))="","",INDIRECT(ADDRESS(ROW('3'!BU$24),COLUMN('3'!BU$6)+ROW(A11)+$B$795,1,1,"3")))</f>
        <v>639433.59499999881</v>
      </c>
      <c r="C204" s="99">
        <f ca="1">IF(INDIRECT(ADDRESS(ROW('3'!BU$24),COLUMN('3'!BU$6)+ROW(A11)+$C$795,1,1,"3"))="","",INDIRECT(ADDRESS(ROW('3'!BU$24),COLUMN('3'!BU$6)+ROW(A11)+$C$795,1,1,"3")))</f>
        <v>664955.67294999864</v>
      </c>
      <c r="D204" s="99" t="str">
        <f ca="1">IF(INDIRECT(ADDRESS(ROW('3'!BU$24),COLUMN('3'!BU$6)+ROW(A11)+$D$795,1,1,"3"))="","",INDIRECT(ADDRESS(ROW('3'!BU$24),COLUMN('3'!BU$6)+ROW(A11)+$D$795,1,1,"3")))</f>
        <v/>
      </c>
      <c r="E204" s="99">
        <f ca="1">IF(INDIRECT(ADDRESS(ROW('3'!BU$25),COLUMN('3'!BU$6)+ROW(A11)+$B$795,1,1,"3"))="","",INDIRECT(ADDRESS(ROW('3'!BU$25),COLUMN('3'!BU$6)+ROW(A11)+$B$795,1,1,"3")))</f>
        <v>887610.95199999958</v>
      </c>
      <c r="F204" s="99">
        <f ca="1">IF(INDIRECT(ADDRESS(ROW('3'!BU$25),COLUMN('3'!BU$6)+ROW(A11)+$C$795,1,1,"3"))="","",INDIRECT(ADDRESS(ROW('3'!BU$25),COLUMN('3'!BU$6)+ROW(A11)+$C$795,1,1,"3")))</f>
        <v>888780.23090999946</v>
      </c>
      <c r="G204" s="99" t="str">
        <f ca="1">IF(INDIRECT(ADDRESS(ROW('3'!BU$25),COLUMN('3'!BU$6)+ROW(A11)+$D$795,1,1,"3"))="","",INDIRECT(ADDRESS(ROW('3'!BU$25),COLUMN('3'!BU$6)+ROW(A11)+$D$795,1,1,"3")))</f>
        <v/>
      </c>
      <c r="H204" s="99">
        <f t="shared" ca="1" si="24"/>
        <v>-248177.35700000077</v>
      </c>
      <c r="I204" s="99">
        <f t="shared" ca="1" si="25"/>
        <v>-223824.55796000082</v>
      </c>
      <c r="J204" s="99" t="str">
        <f t="shared" ca="1" si="26"/>
        <v/>
      </c>
    </row>
    <row r="205" spans="1:10">
      <c r="A205" s="97" t="s">
        <v>167</v>
      </c>
      <c r="B205" s="99">
        <f ca="1">IF(INDIRECT(ADDRESS(ROW('3'!BU$24),COLUMN('3'!BU$6)+ROW(A12)+$B$795,1,1,"3"))="","",INDIRECT(ADDRESS(ROW('3'!BU$24),COLUMN('3'!BU$6)+ROW(A12)+$B$795,1,1,"3")))</f>
        <v>877363.22499999963</v>
      </c>
      <c r="C205" s="99">
        <f ca="1">IF(INDIRECT(ADDRESS(ROW('3'!BU$24),COLUMN('3'!BU$6)+ROW(A12)+$C$795,1,1,"3"))="","",INDIRECT(ADDRESS(ROW('3'!BU$24),COLUMN('3'!BU$6)+ROW(A12)+$C$795,1,1,"3")))</f>
        <v>1156648.6786400005</v>
      </c>
      <c r="D205" s="99" t="str">
        <f ca="1">IF(INDIRECT(ADDRESS(ROW('3'!BU$24),COLUMN('3'!BU$6)+ROW(A12)+$D$795,1,1,"3"))="","",INDIRECT(ADDRESS(ROW('3'!BU$24),COLUMN('3'!BU$6)+ROW(A12)+$D$795,1,1,"3")))</f>
        <v/>
      </c>
      <c r="E205" s="99">
        <f ca="1">IF(INDIRECT(ADDRESS(ROW('3'!BU$25),COLUMN('3'!BU$6)+ROW(A12)+$B$795,1,1,"3"))="","",INDIRECT(ADDRESS(ROW('3'!BU$25),COLUMN('3'!BU$6)+ROW(A12)+$B$795,1,1,"3")))</f>
        <v>1514563.4039999992</v>
      </c>
      <c r="F205" s="99">
        <f ca="1">IF(INDIRECT(ADDRESS(ROW('3'!BU$25),COLUMN('3'!BU$6)+ROW(A12)+$C$795,1,1,"3"))="","",INDIRECT(ADDRESS(ROW('3'!BU$25),COLUMN('3'!BU$6)+ROW(A12)+$C$795,1,1,"3")))</f>
        <v>1690403.4542399999</v>
      </c>
      <c r="G205" s="99" t="str">
        <f ca="1">IF(INDIRECT(ADDRESS(ROW('3'!BU$25),COLUMN('3'!BU$6)+ROW(A12)+$D$795,1,1,"3"))="","",INDIRECT(ADDRESS(ROW('3'!BU$25),COLUMN('3'!BU$6)+ROW(A12)+$D$795,1,1,"3")))</f>
        <v/>
      </c>
      <c r="H205" s="99">
        <f t="shared" ca="1" si="24"/>
        <v>-637200.17899999954</v>
      </c>
      <c r="I205" s="99">
        <f t="shared" ca="1" si="25"/>
        <v>-533754.77559999935</v>
      </c>
      <c r="J205" s="99" t="str">
        <f t="shared" ca="1" si="26"/>
        <v/>
      </c>
    </row>
    <row r="206" spans="1:10">
      <c r="A206" s="108" t="s">
        <v>168</v>
      </c>
      <c r="B206" s="99">
        <f t="shared" ref="B206:G206" ca="1" si="27">SUM(B194:B205)</f>
        <v>10003408.824999999</v>
      </c>
      <c r="C206" s="99">
        <f t="shared" ca="1" si="27"/>
        <v>10116417.08615</v>
      </c>
      <c r="D206" s="99">
        <f t="shared" ca="1" si="27"/>
        <v>6764346.33342</v>
      </c>
      <c r="E206" s="99">
        <f t="shared" ca="1" si="27"/>
        <v>11086028.166999999</v>
      </c>
      <c r="F206" s="99">
        <f t="shared" ca="1" si="27"/>
        <v>12338580.074510001</v>
      </c>
      <c r="G206" s="99">
        <f t="shared" ca="1" si="27"/>
        <v>7177429.4089299999</v>
      </c>
      <c r="H206" s="98" t="s">
        <v>61</v>
      </c>
      <c r="I206" s="98" t="s">
        <v>61</v>
      </c>
      <c r="J206" s="98" t="s">
        <v>61</v>
      </c>
    </row>
    <row r="207" spans="1:10">
      <c r="A207" s="89"/>
      <c r="B207" s="89"/>
      <c r="C207" s="89"/>
      <c r="D207" s="89"/>
      <c r="E207" s="89"/>
      <c r="F207" s="89"/>
      <c r="G207" s="89"/>
      <c r="H207" s="89"/>
      <c r="I207" s="89"/>
      <c r="J207" s="89"/>
    </row>
    <row r="208" spans="1:10">
      <c r="A208" s="89"/>
      <c r="B208" s="89"/>
      <c r="C208" s="89"/>
      <c r="D208" s="89"/>
      <c r="E208" s="89"/>
      <c r="F208" s="89"/>
      <c r="G208" s="89"/>
      <c r="H208" s="89"/>
      <c r="I208" s="89"/>
      <c r="J208" s="89"/>
    </row>
    <row r="209" spans="1:11">
      <c r="A209" s="89"/>
      <c r="B209" s="89"/>
      <c r="C209" s="89"/>
      <c r="D209" s="89"/>
      <c r="E209" s="89"/>
      <c r="F209" s="89"/>
      <c r="G209" s="89"/>
      <c r="H209" s="89"/>
      <c r="I209" s="89"/>
      <c r="J209" s="89"/>
    </row>
    <row r="210" spans="1:11">
      <c r="A210" s="89"/>
      <c r="B210" s="89"/>
      <c r="C210" s="89"/>
      <c r="D210" s="89"/>
      <c r="E210" s="89"/>
      <c r="F210" s="89"/>
      <c r="G210" s="89"/>
      <c r="H210" s="89"/>
      <c r="I210" s="89"/>
      <c r="J210" s="89"/>
    </row>
    <row r="211" spans="1:11">
      <c r="A211" s="89"/>
      <c r="B211" s="89"/>
      <c r="C211" s="89"/>
      <c r="D211" s="89"/>
      <c r="E211" s="89"/>
      <c r="F211" s="89"/>
      <c r="G211" s="89"/>
      <c r="H211" s="89"/>
      <c r="I211" s="89"/>
      <c r="J211" s="122"/>
      <c r="K211" s="284"/>
    </row>
    <row r="212" spans="1:11">
      <c r="A212" s="89"/>
      <c r="B212" s="89"/>
      <c r="C212" s="89"/>
      <c r="D212" s="89"/>
      <c r="E212" s="89"/>
      <c r="F212" s="89"/>
      <c r="G212" s="89"/>
      <c r="H212" s="89"/>
      <c r="I212" s="89"/>
      <c r="J212" s="89"/>
    </row>
    <row r="213" spans="1:11">
      <c r="A213" s="89"/>
      <c r="B213" s="89"/>
      <c r="C213" s="89"/>
      <c r="D213" s="89"/>
      <c r="E213" s="89"/>
      <c r="F213" s="89"/>
      <c r="G213" s="89"/>
      <c r="H213" s="89"/>
      <c r="I213" s="89"/>
      <c r="J213" s="89"/>
    </row>
    <row r="214" spans="1:11">
      <c r="A214" s="89"/>
      <c r="B214" s="89"/>
      <c r="C214" s="89"/>
      <c r="D214" s="89"/>
      <c r="E214" s="89"/>
      <c r="F214" s="89"/>
      <c r="G214" s="89"/>
      <c r="H214" s="89"/>
      <c r="I214" s="89"/>
      <c r="J214" s="89"/>
    </row>
    <row r="215" spans="1:11">
      <c r="A215" s="89"/>
      <c r="B215" s="89"/>
      <c r="C215" s="89"/>
      <c r="D215" s="89"/>
      <c r="E215" s="89"/>
      <c r="F215" s="89"/>
      <c r="G215" s="89"/>
      <c r="H215" s="89"/>
      <c r="I215" s="89"/>
      <c r="J215" s="89"/>
    </row>
    <row r="216" spans="1:11">
      <c r="A216" s="89"/>
      <c r="B216" s="89"/>
      <c r="C216" s="89"/>
      <c r="D216" s="89"/>
      <c r="E216" s="89"/>
      <c r="F216" s="89"/>
      <c r="G216" s="89"/>
      <c r="H216" s="89"/>
      <c r="I216" s="89"/>
      <c r="J216" s="89"/>
    </row>
    <row r="217" spans="1:11">
      <c r="A217" s="89"/>
      <c r="B217" s="89"/>
      <c r="C217" s="89"/>
      <c r="D217" s="89"/>
      <c r="E217" s="89"/>
      <c r="F217" s="89"/>
      <c r="G217" s="89"/>
      <c r="H217" s="89"/>
      <c r="I217" s="89"/>
      <c r="J217" s="89"/>
    </row>
    <row r="218" spans="1:11">
      <c r="A218" s="89"/>
      <c r="B218" s="89"/>
      <c r="C218" s="89"/>
      <c r="D218" s="89"/>
      <c r="E218" s="89"/>
      <c r="F218" s="89"/>
      <c r="G218" s="89"/>
      <c r="H218" s="89"/>
      <c r="I218" s="89"/>
      <c r="J218" s="89"/>
    </row>
    <row r="219" spans="1:11">
      <c r="A219" s="89"/>
      <c r="B219" s="89"/>
      <c r="C219" s="89"/>
      <c r="D219" s="89"/>
      <c r="E219" s="89"/>
      <c r="F219" s="89"/>
      <c r="G219" s="89"/>
      <c r="H219" s="89"/>
      <c r="I219" s="89"/>
      <c r="J219" s="89"/>
    </row>
    <row r="220" spans="1:11">
      <c r="A220" s="89"/>
      <c r="B220" s="89"/>
      <c r="C220" s="89"/>
      <c r="D220" s="89"/>
      <c r="E220" s="89"/>
      <c r="F220" s="89"/>
      <c r="G220" s="89"/>
      <c r="H220" s="89"/>
      <c r="I220" s="89"/>
      <c r="J220" s="89"/>
    </row>
    <row r="221" spans="1:11">
      <c r="A221" s="89"/>
      <c r="B221" s="89"/>
      <c r="C221" s="89"/>
      <c r="D221" s="89"/>
      <c r="E221" s="89"/>
      <c r="F221" s="89"/>
      <c r="G221" s="89"/>
      <c r="H221" s="89"/>
      <c r="I221" s="89"/>
      <c r="J221" s="89"/>
    </row>
    <row r="222" spans="1:11">
      <c r="A222" s="89"/>
      <c r="B222" s="89"/>
      <c r="C222" s="89"/>
      <c r="D222" s="89"/>
      <c r="E222" s="89"/>
      <c r="F222" s="89"/>
      <c r="G222" s="89"/>
      <c r="H222" s="89"/>
      <c r="I222" s="89"/>
      <c r="J222" s="89"/>
    </row>
    <row r="223" spans="1:11">
      <c r="A223" s="89"/>
      <c r="B223" s="89"/>
      <c r="C223" s="89"/>
      <c r="D223" s="89"/>
      <c r="E223" s="89"/>
      <c r="F223" s="89"/>
      <c r="G223" s="89"/>
      <c r="H223" s="89"/>
      <c r="I223" s="89"/>
      <c r="J223" s="89"/>
    </row>
    <row r="224" spans="1:11">
      <c r="A224" s="89"/>
      <c r="B224" s="89"/>
      <c r="C224" s="89"/>
      <c r="D224" s="89"/>
      <c r="E224" s="89"/>
      <c r="F224" s="89"/>
      <c r="G224" s="89"/>
      <c r="H224" s="89"/>
      <c r="I224" s="89"/>
      <c r="J224" s="89"/>
    </row>
    <row r="225" spans="1:10">
      <c r="A225" s="89"/>
      <c r="B225" s="89"/>
      <c r="C225" s="89"/>
      <c r="D225" s="89"/>
      <c r="E225" s="89"/>
      <c r="F225" s="89"/>
      <c r="G225" s="89"/>
      <c r="H225" s="89"/>
      <c r="I225" s="89"/>
      <c r="J225" s="89"/>
    </row>
    <row r="226" spans="1:10">
      <c r="A226" s="89"/>
      <c r="B226" s="89"/>
      <c r="C226" s="89"/>
      <c r="D226" s="89"/>
      <c r="E226" s="89"/>
      <c r="F226" s="89"/>
      <c r="G226" s="89"/>
      <c r="H226" s="89"/>
      <c r="I226" s="89"/>
      <c r="J226" s="89"/>
    </row>
    <row r="227" spans="1:10">
      <c r="A227" s="89"/>
      <c r="B227" s="89"/>
      <c r="C227" s="89"/>
      <c r="D227" s="89"/>
      <c r="E227" s="89"/>
      <c r="F227" s="89"/>
      <c r="G227" s="89"/>
      <c r="H227" s="89"/>
      <c r="I227" s="89"/>
      <c r="J227" s="89"/>
    </row>
    <row r="228" spans="1:10">
      <c r="A228" s="89"/>
      <c r="B228" s="89"/>
      <c r="C228" s="89"/>
      <c r="D228" s="89"/>
      <c r="E228" s="89"/>
      <c r="F228" s="89"/>
      <c r="G228" s="89"/>
      <c r="H228" s="89"/>
      <c r="I228" s="89"/>
      <c r="J228" s="89"/>
    </row>
    <row r="229" spans="1:10">
      <c r="A229" s="89"/>
      <c r="B229" s="89"/>
      <c r="C229" s="89"/>
      <c r="D229" s="89"/>
      <c r="E229" s="89"/>
      <c r="F229" s="89"/>
      <c r="G229" s="89"/>
      <c r="H229" s="89"/>
      <c r="I229" s="89"/>
      <c r="J229" s="89"/>
    </row>
    <row r="230" spans="1:10">
      <c r="A230" s="89"/>
      <c r="B230" s="89"/>
      <c r="C230" s="89"/>
      <c r="D230" s="89"/>
      <c r="E230" s="89"/>
      <c r="F230" s="89"/>
      <c r="G230" s="89"/>
      <c r="H230" s="89"/>
      <c r="I230" s="89"/>
      <c r="J230" s="89"/>
    </row>
    <row r="231" spans="1:10">
      <c r="A231" s="89"/>
      <c r="B231" s="89"/>
      <c r="C231" s="89"/>
      <c r="D231" s="89"/>
      <c r="E231" s="89"/>
      <c r="F231" s="89"/>
      <c r="G231" s="89"/>
      <c r="H231" s="89"/>
      <c r="I231" s="89"/>
      <c r="J231" s="89"/>
    </row>
    <row r="232" spans="1:10">
      <c r="A232" s="89"/>
      <c r="B232" s="89"/>
      <c r="C232" s="89"/>
      <c r="D232" s="89"/>
      <c r="E232" s="89"/>
      <c r="F232" s="89"/>
      <c r="G232" s="89"/>
      <c r="H232" s="89"/>
      <c r="I232" s="89"/>
      <c r="J232" s="89"/>
    </row>
    <row r="233" spans="1:10">
      <c r="A233" s="89"/>
      <c r="B233" s="89"/>
      <c r="C233" s="89"/>
      <c r="D233" s="89"/>
      <c r="E233" s="89"/>
      <c r="F233" s="89"/>
      <c r="G233" s="89"/>
      <c r="H233" s="89"/>
      <c r="I233" s="89"/>
      <c r="J233" s="89"/>
    </row>
    <row r="234" spans="1:10">
      <c r="A234" s="89"/>
      <c r="B234" s="89"/>
      <c r="C234" s="89"/>
      <c r="D234" s="89"/>
      <c r="E234" s="89"/>
      <c r="F234" s="89"/>
      <c r="G234" s="89"/>
      <c r="H234" s="89"/>
      <c r="I234" s="89"/>
      <c r="J234" s="89"/>
    </row>
    <row r="235" spans="1:10">
      <c r="A235" s="89"/>
      <c r="B235" s="89"/>
      <c r="C235" s="89"/>
      <c r="D235" s="89"/>
      <c r="E235" s="89"/>
      <c r="F235" s="89"/>
      <c r="G235" s="89"/>
      <c r="H235" s="89"/>
      <c r="I235" s="89"/>
      <c r="J235" s="89"/>
    </row>
    <row r="236" spans="1:10">
      <c r="A236" s="89"/>
      <c r="B236" s="89"/>
      <c r="C236" s="89"/>
      <c r="D236" s="89"/>
      <c r="E236" s="89"/>
      <c r="F236" s="89"/>
      <c r="G236" s="89"/>
      <c r="H236" s="89"/>
      <c r="I236" s="89"/>
      <c r="J236" s="89"/>
    </row>
    <row r="237" spans="1:10">
      <c r="A237" s="89"/>
      <c r="B237" s="89"/>
      <c r="C237" s="89"/>
      <c r="D237" s="89"/>
      <c r="E237" s="89"/>
      <c r="F237" s="89"/>
      <c r="G237" s="89"/>
      <c r="H237" s="89"/>
      <c r="I237" s="89"/>
      <c r="J237" s="89"/>
    </row>
    <row r="238" spans="1:10">
      <c r="A238" s="89"/>
      <c r="B238" s="89"/>
      <c r="C238" s="89"/>
      <c r="D238" s="89"/>
      <c r="E238" s="89"/>
      <c r="F238" s="89"/>
      <c r="G238" s="89"/>
      <c r="H238" s="89"/>
      <c r="I238" s="89"/>
      <c r="J238" s="89"/>
    </row>
    <row r="239" spans="1:10">
      <c r="A239" s="89"/>
      <c r="B239" s="89"/>
      <c r="C239" s="89"/>
      <c r="D239" s="89"/>
      <c r="E239" s="89"/>
      <c r="F239" s="89"/>
      <c r="G239" s="89"/>
      <c r="H239" s="89"/>
      <c r="I239" s="89"/>
      <c r="J239" s="89"/>
    </row>
    <row r="240" spans="1:10">
      <c r="A240" s="89"/>
      <c r="B240" s="89"/>
      <c r="C240" s="89"/>
      <c r="D240" s="89"/>
      <c r="E240" s="89"/>
      <c r="F240" s="89"/>
      <c r="G240" s="89"/>
      <c r="H240" s="89"/>
      <c r="I240" s="89"/>
      <c r="J240" s="89"/>
    </row>
    <row r="241" spans="1:45">
      <c r="A241" s="89"/>
      <c r="B241" s="89"/>
      <c r="C241" s="89"/>
      <c r="D241" s="89"/>
      <c r="E241" s="89"/>
      <c r="F241" s="89"/>
      <c r="G241" s="89"/>
      <c r="H241" s="89"/>
      <c r="I241" s="89"/>
      <c r="J241" s="89"/>
    </row>
    <row r="242" spans="1:45">
      <c r="A242" s="89"/>
      <c r="B242" s="89"/>
      <c r="C242" s="89"/>
      <c r="D242" s="89"/>
      <c r="E242" s="89"/>
      <c r="F242" s="89"/>
      <c r="G242" s="89"/>
      <c r="H242" s="89"/>
      <c r="I242" s="89"/>
      <c r="J242" s="89"/>
    </row>
    <row r="243" spans="1:45">
      <c r="A243" s="89"/>
      <c r="B243" s="89"/>
      <c r="C243" s="89"/>
      <c r="D243" s="89"/>
      <c r="E243" s="89"/>
      <c r="F243" s="89"/>
      <c r="G243" s="89"/>
      <c r="H243" s="89"/>
      <c r="I243" s="89"/>
      <c r="J243" s="89"/>
    </row>
    <row r="244" spans="1:45">
      <c r="A244" s="89"/>
      <c r="B244" s="89"/>
      <c r="C244" s="89"/>
      <c r="D244" s="89"/>
      <c r="E244" s="89"/>
      <c r="F244" s="89"/>
      <c r="G244" s="89"/>
      <c r="H244" s="89"/>
      <c r="I244" s="89"/>
      <c r="J244" s="89"/>
    </row>
    <row r="245" spans="1:45">
      <c r="A245" s="89"/>
      <c r="B245" s="89"/>
      <c r="C245" s="89"/>
      <c r="D245" s="89"/>
      <c r="E245" s="89"/>
      <c r="F245" s="89"/>
      <c r="G245" s="89"/>
      <c r="H245" s="89"/>
      <c r="I245" s="89"/>
      <c r="J245" s="89"/>
    </row>
    <row r="246" spans="1:45">
      <c r="A246" s="89"/>
      <c r="B246" s="89"/>
      <c r="C246" s="89"/>
      <c r="D246" s="89"/>
      <c r="E246" s="89"/>
      <c r="F246" s="89"/>
      <c r="G246" s="89"/>
      <c r="H246" s="89"/>
      <c r="I246" s="89"/>
      <c r="J246" s="89"/>
    </row>
    <row r="247" spans="1:45">
      <c r="A247" s="89"/>
      <c r="B247" s="89"/>
      <c r="C247" s="89"/>
      <c r="D247" s="89"/>
      <c r="E247" s="89"/>
      <c r="F247" s="89"/>
      <c r="G247" s="89"/>
      <c r="H247" s="89"/>
      <c r="I247" s="89"/>
      <c r="J247" s="89"/>
    </row>
    <row r="248" spans="1:45">
      <c r="A248" s="89"/>
      <c r="B248" s="89"/>
      <c r="C248" s="89"/>
      <c r="D248" s="89"/>
      <c r="E248" s="89"/>
      <c r="F248" s="89"/>
      <c r="G248" s="89"/>
      <c r="H248" s="89"/>
      <c r="I248" s="89"/>
      <c r="J248" s="89"/>
    </row>
    <row r="249" spans="1:45">
      <c r="A249" s="89"/>
      <c r="B249" s="89"/>
      <c r="C249" s="89"/>
      <c r="D249" s="89"/>
      <c r="E249" s="89"/>
      <c r="F249" s="89"/>
      <c r="G249" s="89"/>
      <c r="H249" s="89"/>
      <c r="I249" s="89"/>
      <c r="J249" s="89"/>
    </row>
    <row r="250" spans="1:45">
      <c r="A250" s="89"/>
      <c r="B250" s="89"/>
      <c r="C250" s="89"/>
      <c r="D250" s="89"/>
      <c r="E250" s="89"/>
      <c r="F250" s="89"/>
      <c r="G250" s="89"/>
      <c r="H250" s="89"/>
      <c r="I250" s="89"/>
      <c r="J250" s="89"/>
    </row>
    <row r="251" spans="1:45" s="28" customFormat="1">
      <c r="A251" s="109"/>
      <c r="B251" s="109"/>
      <c r="C251" s="109"/>
      <c r="D251" s="109"/>
      <c r="E251" s="109"/>
      <c r="F251" s="109"/>
      <c r="G251" s="109"/>
      <c r="H251" s="109"/>
      <c r="I251" s="109"/>
      <c r="J251" s="109"/>
      <c r="K251" s="47"/>
      <c r="L251" s="72"/>
      <c r="M251" s="72"/>
      <c r="N251" s="70"/>
      <c r="O251" s="70"/>
      <c r="P251" s="70"/>
      <c r="Q251" s="70"/>
      <c r="R251" s="70"/>
      <c r="S251" s="70"/>
      <c r="T251" s="70"/>
      <c r="U251" s="70"/>
      <c r="V251" s="70"/>
      <c r="W251" s="70"/>
      <c r="X251" s="70"/>
      <c r="Y251" s="70"/>
      <c r="Z251" s="70"/>
      <c r="AA251" s="70"/>
      <c r="AB251" s="72"/>
      <c r="AC251" s="72"/>
      <c r="AD251" s="72"/>
      <c r="AE251" s="72"/>
      <c r="AF251" s="72"/>
      <c r="AG251" s="72"/>
      <c r="AH251" s="72"/>
      <c r="AI251" s="72"/>
      <c r="AJ251" s="72"/>
      <c r="AK251" s="72"/>
      <c r="AL251" s="72"/>
      <c r="AM251" s="72"/>
      <c r="AN251" s="72"/>
      <c r="AO251" s="72"/>
      <c r="AP251" s="72"/>
      <c r="AQ251" s="72"/>
      <c r="AR251" s="72"/>
      <c r="AS251" s="72"/>
    </row>
    <row r="252" spans="1:45">
      <c r="A252" s="89"/>
      <c r="B252" s="89"/>
      <c r="C252" s="89"/>
      <c r="D252" s="89"/>
      <c r="E252" s="89"/>
      <c r="F252" s="89"/>
      <c r="G252" s="89"/>
      <c r="H252" s="89"/>
      <c r="I252" s="89"/>
      <c r="J252" s="89"/>
    </row>
    <row r="253" spans="1:45">
      <c r="A253" s="89"/>
      <c r="B253" s="89"/>
      <c r="C253" s="89"/>
      <c r="D253" s="89"/>
      <c r="E253" s="89"/>
      <c r="F253" s="89"/>
      <c r="G253" s="89"/>
      <c r="H253" s="89"/>
      <c r="I253" s="89"/>
      <c r="J253" s="89"/>
    </row>
    <row r="254" spans="1:45">
      <c r="A254" s="89"/>
      <c r="B254" s="89"/>
      <c r="C254" s="89"/>
      <c r="D254" s="89"/>
      <c r="E254" s="89"/>
      <c r="F254" s="89"/>
      <c r="G254" s="89"/>
      <c r="H254" s="89"/>
      <c r="I254" s="89"/>
      <c r="J254" s="89"/>
    </row>
    <row r="255" spans="1:45">
      <c r="A255" s="89"/>
      <c r="B255" s="89"/>
      <c r="C255" s="89"/>
      <c r="D255" s="89"/>
      <c r="E255" s="89"/>
      <c r="F255" s="89"/>
      <c r="G255" s="89"/>
      <c r="H255" s="89"/>
      <c r="I255" s="89"/>
      <c r="J255" s="89"/>
    </row>
    <row r="256" spans="1:45">
      <c r="A256" s="89"/>
      <c r="B256" s="89"/>
      <c r="C256" s="89"/>
      <c r="D256" s="89"/>
      <c r="E256" s="89"/>
      <c r="F256" s="89"/>
      <c r="G256" s="89"/>
      <c r="H256" s="89"/>
      <c r="I256" s="89"/>
      <c r="J256" s="89"/>
    </row>
    <row r="257" spans="1:45">
      <c r="A257" s="89"/>
      <c r="B257" s="89"/>
      <c r="C257" s="89"/>
      <c r="D257" s="89"/>
      <c r="E257" s="89"/>
      <c r="F257" s="89"/>
      <c r="G257" s="89"/>
      <c r="H257" s="89"/>
      <c r="I257" s="89"/>
      <c r="J257" s="89"/>
    </row>
    <row r="258" spans="1:45">
      <c r="A258" s="89"/>
      <c r="B258" s="89"/>
      <c r="C258" s="89"/>
      <c r="D258" s="89"/>
      <c r="E258" s="89"/>
      <c r="F258" s="89"/>
      <c r="G258" s="89"/>
      <c r="H258" s="89"/>
      <c r="I258" s="89"/>
      <c r="J258" s="89"/>
    </row>
    <row r="259" spans="1:45">
      <c r="A259" s="89"/>
      <c r="B259" s="89"/>
      <c r="C259" s="89"/>
      <c r="D259" s="89"/>
      <c r="E259" s="89"/>
      <c r="F259" s="89"/>
      <c r="G259" s="89"/>
      <c r="H259" s="89"/>
      <c r="I259" s="89"/>
      <c r="J259" s="89"/>
    </row>
    <row r="260" spans="1:45">
      <c r="A260" s="89"/>
      <c r="B260" s="89"/>
      <c r="C260" s="89"/>
      <c r="D260" s="89"/>
      <c r="E260" s="89"/>
      <c r="F260" s="89"/>
      <c r="G260" s="89"/>
      <c r="H260" s="89"/>
      <c r="I260" s="89"/>
      <c r="J260" s="89"/>
    </row>
    <row r="261" spans="1:45">
      <c r="A261" s="89"/>
      <c r="B261" s="89"/>
      <c r="C261" s="89"/>
      <c r="D261" s="89"/>
      <c r="E261" s="89"/>
      <c r="F261" s="89"/>
      <c r="G261" s="89"/>
      <c r="H261" s="89"/>
      <c r="I261" s="89"/>
      <c r="J261" s="89"/>
    </row>
    <row r="262" spans="1:45" ht="15" hidden="1" customHeight="1">
      <c r="A262" s="404" t="s">
        <v>63</v>
      </c>
      <c r="B262" s="405"/>
      <c r="C262" s="405"/>
      <c r="D262" s="405"/>
      <c r="E262" s="405"/>
      <c r="F262" s="405"/>
      <c r="G262" s="405"/>
      <c r="H262" s="405"/>
      <c r="I262" s="405"/>
      <c r="J262" s="406"/>
    </row>
    <row r="263" spans="1:45" hidden="1">
      <c r="A263" s="90" t="s">
        <v>30</v>
      </c>
      <c r="B263" s="407" t="s">
        <v>56</v>
      </c>
      <c r="C263" s="409"/>
      <c r="D263" s="408"/>
      <c r="E263" s="407" t="s">
        <v>57</v>
      </c>
      <c r="F263" s="409"/>
      <c r="G263" s="408"/>
      <c r="H263" s="407" t="s">
        <v>58</v>
      </c>
      <c r="I263" s="409"/>
      <c r="J263" s="408"/>
    </row>
    <row r="264" spans="1:45" hidden="1">
      <c r="A264" s="92">
        <v>1</v>
      </c>
      <c r="B264" s="93">
        <v>2</v>
      </c>
      <c r="C264" s="93">
        <v>3</v>
      </c>
      <c r="D264" s="93">
        <v>4</v>
      </c>
      <c r="E264" s="93">
        <v>5</v>
      </c>
      <c r="F264" s="93">
        <v>6</v>
      </c>
      <c r="G264" s="93">
        <v>7</v>
      </c>
      <c r="H264" s="106" t="s">
        <v>70</v>
      </c>
      <c r="I264" s="106" t="s">
        <v>71</v>
      </c>
      <c r="J264" s="106" t="s">
        <v>72</v>
      </c>
    </row>
    <row r="265" spans="1:45" hidden="1">
      <c r="A265" s="94"/>
      <c r="B265" s="93" t="s">
        <v>62</v>
      </c>
      <c r="C265" s="93" t="s">
        <v>51</v>
      </c>
      <c r="D265" s="93" t="s">
        <v>31</v>
      </c>
      <c r="E265" s="93" t="s">
        <v>62</v>
      </c>
      <c r="F265" s="93" t="s">
        <v>51</v>
      </c>
      <c r="G265" s="93" t="s">
        <v>31</v>
      </c>
      <c r="H265" s="93" t="s">
        <v>62</v>
      </c>
      <c r="I265" s="93" t="s">
        <v>51</v>
      </c>
      <c r="J265" s="93" t="s">
        <v>31</v>
      </c>
    </row>
    <row r="266" spans="1:45" hidden="1">
      <c r="A266" s="95"/>
      <c r="B266" s="107">
        <v>2024</v>
      </c>
      <c r="C266" s="107">
        <v>2025</v>
      </c>
      <c r="D266" s="107">
        <v>2026</v>
      </c>
      <c r="E266" s="107">
        <v>2024</v>
      </c>
      <c r="F266" s="107">
        <v>2025</v>
      </c>
      <c r="G266" s="107">
        <v>2026</v>
      </c>
      <c r="H266" s="107">
        <v>2024</v>
      </c>
      <c r="I266" s="107">
        <v>2025</v>
      </c>
      <c r="J266" s="107">
        <v>2026</v>
      </c>
      <c r="M266" s="70" t="s">
        <v>78</v>
      </c>
      <c r="N266" s="201" t="str">
        <f t="shared" ref="N266:N278" si="28">C779</f>
        <v>2020 fakts</v>
      </c>
      <c r="O266" s="201" t="str">
        <f t="shared" ref="O266:O278" si="29">D779</f>
        <v>2021 fakts</v>
      </c>
      <c r="P266" s="201" t="str">
        <f t="shared" ref="P266:P278" si="30">E779</f>
        <v>2021 fakts</v>
      </c>
      <c r="Q266" s="201" t="str">
        <f t="shared" ref="Q266:Q278" si="31">F779</f>
        <v>2022 plāns</v>
      </c>
      <c r="R266" s="201" t="str">
        <f t="shared" ref="R266:R278" si="32">G779</f>
        <v>2022 fakts</v>
      </c>
      <c r="S266" s="201" t="str">
        <f t="shared" ref="S266:S278" si="33">H779</f>
        <v>2023 plāns</v>
      </c>
      <c r="T266" s="201" t="str">
        <f t="shared" ref="T266:W278" si="34">I779</f>
        <v>2023 fakts</v>
      </c>
      <c r="U266" s="201" t="str">
        <f t="shared" si="34"/>
        <v>2024 fakts</v>
      </c>
      <c r="V266" s="201" t="str">
        <f t="shared" si="34"/>
        <v>2025 fakts</v>
      </c>
      <c r="W266" s="201" t="str">
        <f t="shared" si="34"/>
        <v>2026 prognoze</v>
      </c>
      <c r="AO266" s="27"/>
      <c r="AP266" s="27"/>
      <c r="AQ266" s="27"/>
      <c r="AR266" s="27"/>
      <c r="AS266" s="27"/>
    </row>
    <row r="267" spans="1:45" hidden="1">
      <c r="A267" s="97" t="s">
        <v>156</v>
      </c>
      <c r="B267" s="98">
        <f ca="1">IFERROR(B194/U267*100,"")</f>
        <v>2.2677034382147654</v>
      </c>
      <c r="C267" s="98">
        <f ca="1">IFERROR(C194/V267*100,"")</f>
        <v>1.908661979134104</v>
      </c>
      <c r="D267" s="98">
        <f ca="1">IFERROR(D194/W267*100,"")</f>
        <v>1.8316159055077514</v>
      </c>
      <c r="E267" s="98">
        <f ca="1">IFERROR(E194/U267*100,"")</f>
        <v>1.992246562668333</v>
      </c>
      <c r="F267" s="98">
        <f ca="1">IFERROR(F194/V267*100,"")</f>
        <v>2.2015044133352268</v>
      </c>
      <c r="G267" s="98">
        <f ca="1">IFERROR(G194/W267*100,"")</f>
        <v>2.3813441160717193</v>
      </c>
      <c r="H267" s="98">
        <f ca="1">IFERROR(B267-E267,"")</f>
        <v>0.27545687554643239</v>
      </c>
      <c r="I267" s="98">
        <f ca="1">IFERROR(C267-F267,"")</f>
        <v>-0.29284243420112288</v>
      </c>
      <c r="J267" s="98">
        <f ca="1">IFERROR(D267-G267,"")</f>
        <v>-0.54972821056396781</v>
      </c>
      <c r="M267" s="200" t="s">
        <v>156</v>
      </c>
      <c r="N267" s="71">
        <f t="shared" si="28"/>
        <v>29224340</v>
      </c>
      <c r="O267" s="71">
        <f t="shared" si="29"/>
        <v>32283779</v>
      </c>
      <c r="P267" s="71">
        <f t="shared" si="30"/>
        <v>32283779</v>
      </c>
      <c r="Q267" s="71">
        <f t="shared" si="31"/>
        <v>36103656</v>
      </c>
      <c r="R267" s="71">
        <f t="shared" si="32"/>
        <v>36088740</v>
      </c>
      <c r="S267" s="71">
        <f t="shared" si="33"/>
        <v>39072483</v>
      </c>
      <c r="T267" s="71">
        <f t="shared" si="34"/>
        <v>39564221</v>
      </c>
      <c r="U267" s="71">
        <f t="shared" si="34"/>
        <v>40652318</v>
      </c>
      <c r="V267" s="71">
        <f t="shared" si="34"/>
        <v>43026190</v>
      </c>
      <c r="W267" s="71">
        <f t="shared" si="34"/>
        <v>45538272.107807383</v>
      </c>
      <c r="AO267" s="27"/>
      <c r="AP267" s="27"/>
      <c r="AQ267" s="27"/>
      <c r="AR267" s="27"/>
      <c r="AS267" s="27"/>
    </row>
    <row r="268" spans="1:45" hidden="1">
      <c r="A268" s="97" t="s">
        <v>157</v>
      </c>
      <c r="B268" s="98">
        <f t="shared" ref="B268:B278" ca="1" si="35">IFERROR(B195/U268*100,"")</f>
        <v>1.8338479296555736</v>
      </c>
      <c r="C268" s="98">
        <f t="shared" ref="C268:C278" ca="1" si="36">IFERROR(C195/V268*100,"")</f>
        <v>1.9641946881190271</v>
      </c>
      <c r="D268" s="98">
        <f t="shared" ref="D268:D278" ca="1" si="37">IFERROR(D195/W268*100,"")</f>
        <v>3.0583997773846558</v>
      </c>
      <c r="E268" s="98">
        <f t="shared" ref="E268:E278" ca="1" si="38">IFERROR(E195/U268*100,"")</f>
        <v>2.1640894548743814</v>
      </c>
      <c r="F268" s="98">
        <f t="shared" ref="F268:F278" ca="1" si="39">IFERROR(F195/V268*100,"")</f>
        <v>2.3060325100130874</v>
      </c>
      <c r="G268" s="98">
        <f t="shared" ref="G268:G278" ca="1" si="40">IFERROR(G195/W268*100,"")</f>
        <v>2.1660885574770967</v>
      </c>
      <c r="H268" s="98">
        <f t="shared" ref="H268:H278" ca="1" si="41">IFERROR(B268-E268,"")</f>
        <v>-0.33024152521880779</v>
      </c>
      <c r="I268" s="98">
        <f t="shared" ref="I268:I278" ca="1" si="42">IFERROR(C268-F268,"")</f>
        <v>-0.34183782189406031</v>
      </c>
      <c r="J268" s="98">
        <f t="shared" ref="J268:J278" ca="1" si="43">IFERROR(D268-G268,"")</f>
        <v>0.89231121990755913</v>
      </c>
      <c r="M268" s="200" t="s">
        <v>157</v>
      </c>
      <c r="N268" s="71">
        <f t="shared" si="28"/>
        <v>29224340</v>
      </c>
      <c r="O268" s="71">
        <f t="shared" si="29"/>
        <v>32283779</v>
      </c>
      <c r="P268" s="71">
        <f t="shared" si="30"/>
        <v>32283779</v>
      </c>
      <c r="Q268" s="71">
        <f t="shared" si="31"/>
        <v>36103656</v>
      </c>
      <c r="R268" s="71">
        <f t="shared" si="32"/>
        <v>36088740</v>
      </c>
      <c r="S268" s="71">
        <f t="shared" si="33"/>
        <v>39072483</v>
      </c>
      <c r="T268" s="71">
        <f t="shared" si="34"/>
        <v>39564221</v>
      </c>
      <c r="U268" s="71">
        <f t="shared" si="34"/>
        <v>40652318</v>
      </c>
      <c r="V268" s="71">
        <f t="shared" si="34"/>
        <v>43026190</v>
      </c>
      <c r="W268" s="71">
        <f t="shared" si="34"/>
        <v>45538272.107807383</v>
      </c>
      <c r="AO268" s="27"/>
      <c r="AP268" s="27"/>
      <c r="AQ268" s="27"/>
      <c r="AR268" s="27"/>
      <c r="AS268" s="27"/>
    </row>
    <row r="269" spans="1:45" hidden="1">
      <c r="A269" s="97" t="s">
        <v>158</v>
      </c>
      <c r="B269" s="98">
        <f t="shared" ca="1" si="35"/>
        <v>1.7265031455278887</v>
      </c>
      <c r="C269" s="98">
        <f t="shared" ca="1" si="36"/>
        <v>1.2584033501688165</v>
      </c>
      <c r="D269" s="98">
        <f t="shared" ca="1" si="37"/>
        <v>1.2923588270691129</v>
      </c>
      <c r="E269" s="98">
        <f t="shared" ca="1" si="38"/>
        <v>1.9818597453655655</v>
      </c>
      <c r="F269" s="98">
        <f t="shared" ca="1" si="39"/>
        <v>2.4070328624495909</v>
      </c>
      <c r="G269" s="98">
        <f t="shared" ca="1" si="40"/>
        <v>2.2323116796645324</v>
      </c>
      <c r="H269" s="98">
        <f t="shared" ca="1" si="41"/>
        <v>-0.25535659983767678</v>
      </c>
      <c r="I269" s="98">
        <f t="shared" ca="1" si="42"/>
        <v>-1.1486295122807744</v>
      </c>
      <c r="J269" s="98">
        <f t="shared" ca="1" si="43"/>
        <v>-0.9399528525954195</v>
      </c>
      <c r="M269" s="200" t="s">
        <v>158</v>
      </c>
      <c r="N269" s="71">
        <f t="shared" si="28"/>
        <v>29224340</v>
      </c>
      <c r="O269" s="71">
        <f t="shared" si="29"/>
        <v>32283779</v>
      </c>
      <c r="P269" s="71">
        <f t="shared" si="30"/>
        <v>32283779</v>
      </c>
      <c r="Q269" s="71">
        <f t="shared" si="31"/>
        <v>36103656</v>
      </c>
      <c r="R269" s="71">
        <f t="shared" si="32"/>
        <v>36088740</v>
      </c>
      <c r="S269" s="71">
        <f t="shared" si="33"/>
        <v>39072483</v>
      </c>
      <c r="T269" s="71">
        <f t="shared" si="34"/>
        <v>39564221</v>
      </c>
      <c r="U269" s="71">
        <f t="shared" si="34"/>
        <v>40652318</v>
      </c>
      <c r="V269" s="71">
        <f t="shared" si="34"/>
        <v>43026190</v>
      </c>
      <c r="W269" s="71">
        <f t="shared" si="34"/>
        <v>45538272.107807383</v>
      </c>
      <c r="AO269" s="27"/>
      <c r="AP269" s="27"/>
      <c r="AQ269" s="27"/>
      <c r="AR269" s="27"/>
      <c r="AS269" s="27"/>
    </row>
    <row r="270" spans="1:45" hidden="1">
      <c r="A270" s="97" t="s">
        <v>159</v>
      </c>
      <c r="B270" s="98">
        <f t="shared" ca="1" si="35"/>
        <v>2.0385901512430351</v>
      </c>
      <c r="C270" s="98">
        <f t="shared" ca="1" si="36"/>
        <v>1.8829670115341373</v>
      </c>
      <c r="D270" s="98">
        <f t="shared" ca="1" si="37"/>
        <v>1.7200717957537675</v>
      </c>
      <c r="E270" s="98">
        <f t="shared" ca="1" si="38"/>
        <v>2.6477905909326012</v>
      </c>
      <c r="F270" s="98">
        <f t="shared" ca="1" si="39"/>
        <v>2.3894700369472646</v>
      </c>
      <c r="G270" s="98">
        <f t="shared" ca="1" si="40"/>
        <v>2.0477008159036592</v>
      </c>
      <c r="H270" s="98">
        <f t="shared" ca="1" si="41"/>
        <v>-0.60920043968956605</v>
      </c>
      <c r="I270" s="98">
        <f t="shared" ca="1" si="42"/>
        <v>-0.50650302541312731</v>
      </c>
      <c r="J270" s="98">
        <f t="shared" ca="1" si="43"/>
        <v>-0.3276290201498917</v>
      </c>
      <c r="M270" s="200" t="s">
        <v>159</v>
      </c>
      <c r="N270" s="71">
        <f t="shared" si="28"/>
        <v>29224340</v>
      </c>
      <c r="O270" s="71">
        <f t="shared" si="29"/>
        <v>32283779</v>
      </c>
      <c r="P270" s="71">
        <f t="shared" si="30"/>
        <v>32283779</v>
      </c>
      <c r="Q270" s="71">
        <f t="shared" si="31"/>
        <v>36103656</v>
      </c>
      <c r="R270" s="71">
        <f t="shared" si="32"/>
        <v>36088740</v>
      </c>
      <c r="S270" s="71">
        <f t="shared" si="33"/>
        <v>39072483</v>
      </c>
      <c r="T270" s="71">
        <f t="shared" si="34"/>
        <v>39564221</v>
      </c>
      <c r="U270" s="71">
        <f t="shared" si="34"/>
        <v>40652318</v>
      </c>
      <c r="V270" s="71">
        <f t="shared" si="34"/>
        <v>43026190</v>
      </c>
      <c r="W270" s="71">
        <f t="shared" si="34"/>
        <v>45538272.107807383</v>
      </c>
      <c r="AO270" s="27"/>
      <c r="AP270" s="27"/>
      <c r="AQ270" s="27"/>
      <c r="AR270" s="27"/>
      <c r="AS270" s="27"/>
    </row>
    <row r="271" spans="1:45" hidden="1">
      <c r="A271" s="97" t="s">
        <v>160</v>
      </c>
      <c r="B271" s="98">
        <f t="shared" ca="1" si="35"/>
        <v>2.7375757564427197</v>
      </c>
      <c r="C271" s="98">
        <f t="shared" ca="1" si="36"/>
        <v>2.6333431890669368</v>
      </c>
      <c r="D271" s="98">
        <f t="shared" ca="1" si="37"/>
        <v>2.6474209068492667</v>
      </c>
      <c r="E271" s="98">
        <f t="shared" ca="1" si="38"/>
        <v>1.9280405461750054</v>
      </c>
      <c r="F271" s="98">
        <f t="shared" ca="1" si="39"/>
        <v>2.1029784812691981</v>
      </c>
      <c r="G271" s="98">
        <f t="shared" ca="1" si="40"/>
        <v>2.1751008477552243</v>
      </c>
      <c r="H271" s="98">
        <f t="shared" ca="1" si="41"/>
        <v>0.80953521026771424</v>
      </c>
      <c r="I271" s="98">
        <f t="shared" ca="1" si="42"/>
        <v>0.5303647077977387</v>
      </c>
      <c r="J271" s="98">
        <f t="shared" ca="1" si="43"/>
        <v>0.4723200590940424</v>
      </c>
      <c r="M271" s="200" t="s">
        <v>160</v>
      </c>
      <c r="N271" s="71">
        <f t="shared" si="28"/>
        <v>29224340</v>
      </c>
      <c r="O271" s="71">
        <f t="shared" si="29"/>
        <v>32283779</v>
      </c>
      <c r="P271" s="71">
        <f t="shared" si="30"/>
        <v>32283779</v>
      </c>
      <c r="Q271" s="71">
        <f t="shared" si="31"/>
        <v>36103656</v>
      </c>
      <c r="R271" s="71">
        <f t="shared" si="32"/>
        <v>36088740</v>
      </c>
      <c r="S271" s="71">
        <f t="shared" si="33"/>
        <v>39072483</v>
      </c>
      <c r="T271" s="71">
        <f t="shared" si="34"/>
        <v>39564221</v>
      </c>
      <c r="U271" s="71">
        <f t="shared" si="34"/>
        <v>40652318</v>
      </c>
      <c r="V271" s="71">
        <f t="shared" si="34"/>
        <v>43026190</v>
      </c>
      <c r="W271" s="71">
        <f t="shared" si="34"/>
        <v>45538272.107807383</v>
      </c>
      <c r="AO271" s="27"/>
      <c r="AP271" s="27"/>
      <c r="AQ271" s="27"/>
      <c r="AR271" s="27"/>
      <c r="AS271" s="27"/>
    </row>
    <row r="272" spans="1:45" hidden="1">
      <c r="A272" s="97" t="s">
        <v>161</v>
      </c>
      <c r="B272" s="98">
        <f t="shared" ca="1" si="35"/>
        <v>2.98728687254685</v>
      </c>
      <c r="C272" s="98">
        <f t="shared" ca="1" si="36"/>
        <v>2.5978226315181527</v>
      </c>
      <c r="D272" s="98">
        <f t="shared" ca="1" si="37"/>
        <v>2.4592019855931251</v>
      </c>
      <c r="E272" s="98">
        <f t="shared" ca="1" si="38"/>
        <v>2.2466936965316457</v>
      </c>
      <c r="F272" s="98">
        <f t="shared" ca="1" si="39"/>
        <v>2.4487474018731392</v>
      </c>
      <c r="G272" s="98">
        <f t="shared" ca="1" si="40"/>
        <v>2.3945198034271722</v>
      </c>
      <c r="H272" s="98">
        <f t="shared" ca="1" si="41"/>
        <v>0.74059317601520425</v>
      </c>
      <c r="I272" s="98">
        <f t="shared" ca="1" si="42"/>
        <v>0.14907522964501352</v>
      </c>
      <c r="J272" s="98">
        <f t="shared" ca="1" si="43"/>
        <v>6.4682182165952895E-2</v>
      </c>
      <c r="M272" s="200" t="s">
        <v>161</v>
      </c>
      <c r="N272" s="71">
        <f t="shared" si="28"/>
        <v>29224340</v>
      </c>
      <c r="O272" s="71">
        <f t="shared" si="29"/>
        <v>32283779</v>
      </c>
      <c r="P272" s="71">
        <f t="shared" si="30"/>
        <v>32283779</v>
      </c>
      <c r="Q272" s="71">
        <f t="shared" si="31"/>
        <v>36103656</v>
      </c>
      <c r="R272" s="71">
        <f t="shared" si="32"/>
        <v>36088740</v>
      </c>
      <c r="S272" s="71">
        <f t="shared" si="33"/>
        <v>39072483</v>
      </c>
      <c r="T272" s="71">
        <f t="shared" si="34"/>
        <v>39564221</v>
      </c>
      <c r="U272" s="71">
        <f t="shared" si="34"/>
        <v>40652318</v>
      </c>
      <c r="V272" s="71">
        <f t="shared" si="34"/>
        <v>43026190</v>
      </c>
      <c r="W272" s="71">
        <f t="shared" si="34"/>
        <v>45538272.107807383</v>
      </c>
      <c r="AO272" s="27"/>
      <c r="AP272" s="27"/>
      <c r="AQ272" s="27"/>
      <c r="AR272" s="27"/>
      <c r="AS272" s="27"/>
    </row>
    <row r="273" spans="1:45" hidden="1">
      <c r="A273" s="97" t="s">
        <v>162</v>
      </c>
      <c r="B273" s="98">
        <f t="shared" ca="1" si="35"/>
        <v>2.1554573689992305</v>
      </c>
      <c r="C273" s="98">
        <f t="shared" ca="1" si="36"/>
        <v>1.7798851876031796</v>
      </c>
      <c r="D273" s="98">
        <f t="shared" ca="1" si="37"/>
        <v>1.8451315001166761</v>
      </c>
      <c r="E273" s="98">
        <f t="shared" ca="1" si="38"/>
        <v>2.2628410783365411</v>
      </c>
      <c r="F273" s="98">
        <f t="shared" ca="1" si="39"/>
        <v>2.2313482930745216</v>
      </c>
      <c r="G273" s="98">
        <f t="shared" ca="1" si="40"/>
        <v>2.3642467563792664</v>
      </c>
      <c r="H273" s="98">
        <f t="shared" ca="1" si="41"/>
        <v>-0.10738370933731067</v>
      </c>
      <c r="I273" s="98">
        <f t="shared" ca="1" si="42"/>
        <v>-0.45146310547134205</v>
      </c>
      <c r="J273" s="98">
        <f t="shared" ca="1" si="43"/>
        <v>-0.51911525626259025</v>
      </c>
      <c r="M273" s="200" t="s">
        <v>162</v>
      </c>
      <c r="N273" s="71">
        <f t="shared" si="28"/>
        <v>29224340</v>
      </c>
      <c r="O273" s="71">
        <f t="shared" si="29"/>
        <v>32283779</v>
      </c>
      <c r="P273" s="71">
        <f t="shared" si="30"/>
        <v>32283779</v>
      </c>
      <c r="Q273" s="71">
        <f t="shared" si="31"/>
        <v>36103656</v>
      </c>
      <c r="R273" s="71">
        <f t="shared" si="32"/>
        <v>36088740</v>
      </c>
      <c r="S273" s="71">
        <f t="shared" si="33"/>
        <v>39072483</v>
      </c>
      <c r="T273" s="71">
        <f t="shared" si="34"/>
        <v>39564221</v>
      </c>
      <c r="U273" s="71">
        <f t="shared" si="34"/>
        <v>40652318</v>
      </c>
      <c r="V273" s="71">
        <f t="shared" si="34"/>
        <v>43026190</v>
      </c>
      <c r="W273" s="71">
        <f t="shared" si="34"/>
        <v>45538272.107807383</v>
      </c>
      <c r="AO273" s="27"/>
      <c r="AP273" s="27"/>
      <c r="AQ273" s="27"/>
      <c r="AR273" s="27"/>
      <c r="AS273" s="27"/>
    </row>
    <row r="274" spans="1:45" hidden="1">
      <c r="A274" s="97" t="s">
        <v>163</v>
      </c>
      <c r="B274" s="98">
        <f t="shared" ca="1" si="35"/>
        <v>1.7598823811227686</v>
      </c>
      <c r="C274" s="98">
        <f t="shared" ca="1" si="36"/>
        <v>2.0929690111069532</v>
      </c>
      <c r="D274" s="98" t="str">
        <f t="shared" ca="1" si="37"/>
        <v/>
      </c>
      <c r="E274" s="98">
        <f t="shared" ca="1" si="38"/>
        <v>1.7989007613292802</v>
      </c>
      <c r="F274" s="98">
        <f t="shared" ca="1" si="39"/>
        <v>1.9173769290053333</v>
      </c>
      <c r="G274" s="98" t="str">
        <f t="shared" ca="1" si="40"/>
        <v/>
      </c>
      <c r="H274" s="98">
        <f t="shared" ca="1" si="41"/>
        <v>-3.9018380206511605E-2</v>
      </c>
      <c r="I274" s="98">
        <f t="shared" ca="1" si="42"/>
        <v>0.17559208210161992</v>
      </c>
      <c r="J274" s="98" t="str">
        <f t="shared" ca="1" si="43"/>
        <v/>
      </c>
      <c r="M274" s="200" t="s">
        <v>163</v>
      </c>
      <c r="N274" s="71">
        <f t="shared" si="28"/>
        <v>29224340</v>
      </c>
      <c r="O274" s="71">
        <f t="shared" si="29"/>
        <v>32283779</v>
      </c>
      <c r="P274" s="71">
        <f t="shared" si="30"/>
        <v>32283779</v>
      </c>
      <c r="Q274" s="71">
        <f t="shared" si="31"/>
        <v>36103656</v>
      </c>
      <c r="R274" s="71">
        <f t="shared" si="32"/>
        <v>36088740</v>
      </c>
      <c r="S274" s="71">
        <f t="shared" si="33"/>
        <v>39072483</v>
      </c>
      <c r="T274" s="71">
        <f t="shared" si="34"/>
        <v>39564221</v>
      </c>
      <c r="U274" s="71">
        <f t="shared" si="34"/>
        <v>40652318</v>
      </c>
      <c r="V274" s="71">
        <f t="shared" si="34"/>
        <v>43026190</v>
      </c>
      <c r="W274" s="71">
        <f t="shared" si="34"/>
        <v>45538272.107807383</v>
      </c>
      <c r="AO274" s="27"/>
      <c r="AP274" s="27"/>
      <c r="AQ274" s="27"/>
      <c r="AR274" s="27"/>
      <c r="AS274" s="27"/>
    </row>
    <row r="275" spans="1:45" hidden="1">
      <c r="A275" s="97" t="s">
        <v>164</v>
      </c>
      <c r="B275" s="98">
        <f t="shared" ca="1" si="35"/>
        <v>1.683255850256804</v>
      </c>
      <c r="C275" s="98">
        <f t="shared" ca="1" si="36"/>
        <v>1.551642581134886</v>
      </c>
      <c r="D275" s="98" t="str">
        <f t="shared" ca="1" si="37"/>
        <v/>
      </c>
      <c r="E275" s="98">
        <f t="shared" ca="1" si="38"/>
        <v>1.8682862881275311</v>
      </c>
      <c r="F275" s="98">
        <f t="shared" ca="1" si="39"/>
        <v>2.2457393533566417</v>
      </c>
      <c r="G275" s="98" t="str">
        <f t="shared" ca="1" si="40"/>
        <v/>
      </c>
      <c r="H275" s="98">
        <f t="shared" ca="1" si="41"/>
        <v>-0.18503043787072704</v>
      </c>
      <c r="I275" s="98">
        <f t="shared" ca="1" si="42"/>
        <v>-0.6940967722217557</v>
      </c>
      <c r="J275" s="98" t="str">
        <f t="shared" ca="1" si="43"/>
        <v/>
      </c>
      <c r="M275" s="200" t="s">
        <v>164</v>
      </c>
      <c r="N275" s="71">
        <f t="shared" si="28"/>
        <v>29224340</v>
      </c>
      <c r="O275" s="71">
        <f t="shared" si="29"/>
        <v>32283779</v>
      </c>
      <c r="P275" s="71">
        <f t="shared" si="30"/>
        <v>32283779</v>
      </c>
      <c r="Q275" s="71">
        <f t="shared" si="31"/>
        <v>36103656</v>
      </c>
      <c r="R275" s="71">
        <f t="shared" si="32"/>
        <v>36088740</v>
      </c>
      <c r="S275" s="71">
        <f t="shared" si="33"/>
        <v>39072483</v>
      </c>
      <c r="T275" s="71">
        <f t="shared" si="34"/>
        <v>39564221</v>
      </c>
      <c r="U275" s="71">
        <f t="shared" si="34"/>
        <v>40652318</v>
      </c>
      <c r="V275" s="71">
        <f t="shared" si="34"/>
        <v>43026190</v>
      </c>
      <c r="W275" s="71">
        <f t="shared" si="34"/>
        <v>45538272.107807383</v>
      </c>
      <c r="AO275" s="27"/>
      <c r="AP275" s="27"/>
      <c r="AQ275" s="27"/>
      <c r="AR275" s="27"/>
      <c r="AS275" s="27"/>
    </row>
    <row r="276" spans="1:45" hidden="1">
      <c r="A276" s="97" t="s">
        <v>165</v>
      </c>
      <c r="B276" s="98">
        <f t="shared" ca="1" si="35"/>
        <v>1.6859809863732762</v>
      </c>
      <c r="C276" s="98">
        <f t="shared" ca="1" si="36"/>
        <v>1.6086305801884879</v>
      </c>
      <c r="D276" s="98" t="str">
        <f t="shared" ca="1" si="37"/>
        <v/>
      </c>
      <c r="E276" s="98">
        <f t="shared" ca="1" si="38"/>
        <v>2.4705271837143474</v>
      </c>
      <c r="F276" s="98">
        <f t="shared" ca="1" si="39"/>
        <v>2.4322251937250341</v>
      </c>
      <c r="G276" s="98" t="str">
        <f t="shared" ca="1" si="40"/>
        <v/>
      </c>
      <c r="H276" s="98">
        <f t="shared" ca="1" si="41"/>
        <v>-0.78454619734107123</v>
      </c>
      <c r="I276" s="98">
        <f t="shared" ca="1" si="42"/>
        <v>-0.82359461353654617</v>
      </c>
      <c r="J276" s="98" t="str">
        <f t="shared" ca="1" si="43"/>
        <v/>
      </c>
      <c r="M276" s="200" t="s">
        <v>165</v>
      </c>
      <c r="N276" s="71">
        <f t="shared" si="28"/>
        <v>29224340</v>
      </c>
      <c r="O276" s="71">
        <f t="shared" si="29"/>
        <v>32283779</v>
      </c>
      <c r="P276" s="71">
        <f t="shared" si="30"/>
        <v>32283779</v>
      </c>
      <c r="Q276" s="71">
        <f t="shared" si="31"/>
        <v>36103656</v>
      </c>
      <c r="R276" s="71">
        <f t="shared" si="32"/>
        <v>36088740</v>
      </c>
      <c r="S276" s="71">
        <f t="shared" si="33"/>
        <v>39072483</v>
      </c>
      <c r="T276" s="71">
        <f t="shared" si="34"/>
        <v>39564221</v>
      </c>
      <c r="U276" s="71">
        <f t="shared" si="34"/>
        <v>40652318</v>
      </c>
      <c r="V276" s="71">
        <f t="shared" si="34"/>
        <v>43026190</v>
      </c>
      <c r="W276" s="71">
        <f t="shared" si="34"/>
        <v>45538272.107807383</v>
      </c>
      <c r="AO276" s="27"/>
      <c r="AP276" s="27"/>
      <c r="AQ276" s="27"/>
      <c r="AR276" s="27"/>
      <c r="AS276" s="27"/>
    </row>
    <row r="277" spans="1:45" hidden="1">
      <c r="A277" s="97" t="s">
        <v>166</v>
      </c>
      <c r="B277" s="98">
        <f t="shared" ca="1" si="35"/>
        <v>1.5729326800011718</v>
      </c>
      <c r="C277" s="98">
        <f t="shared" ca="1" si="36"/>
        <v>1.545467244369066</v>
      </c>
      <c r="D277" s="98" t="str">
        <f t="shared" ca="1" si="37"/>
        <v/>
      </c>
      <c r="E277" s="98">
        <f t="shared" ca="1" si="38"/>
        <v>2.1834202713852617</v>
      </c>
      <c r="F277" s="98">
        <f t="shared" ca="1" si="39"/>
        <v>2.0656726308092801</v>
      </c>
      <c r="G277" s="98" t="str">
        <f t="shared" ca="1" si="40"/>
        <v/>
      </c>
      <c r="H277" s="98">
        <f t="shared" ca="1" si="41"/>
        <v>-0.61048759138408992</v>
      </c>
      <c r="I277" s="98">
        <f t="shared" ca="1" si="42"/>
        <v>-0.52020538644021408</v>
      </c>
      <c r="J277" s="98" t="str">
        <f t="shared" ca="1" si="43"/>
        <v/>
      </c>
      <c r="M277" s="200" t="s">
        <v>166</v>
      </c>
      <c r="N277" s="71">
        <f t="shared" si="28"/>
        <v>29224340</v>
      </c>
      <c r="O277" s="71">
        <f t="shared" si="29"/>
        <v>32283779</v>
      </c>
      <c r="P277" s="71">
        <f t="shared" si="30"/>
        <v>32283779</v>
      </c>
      <c r="Q277" s="71">
        <f t="shared" si="31"/>
        <v>36103656</v>
      </c>
      <c r="R277" s="71">
        <f t="shared" si="32"/>
        <v>36088740</v>
      </c>
      <c r="S277" s="71">
        <f t="shared" si="33"/>
        <v>39072483</v>
      </c>
      <c r="T277" s="71">
        <f t="shared" si="34"/>
        <v>39564221</v>
      </c>
      <c r="U277" s="71">
        <f t="shared" si="34"/>
        <v>40652318</v>
      </c>
      <c r="V277" s="71">
        <f t="shared" si="34"/>
        <v>43026190</v>
      </c>
      <c r="W277" s="71">
        <f t="shared" si="34"/>
        <v>45538272.107807383</v>
      </c>
      <c r="AO277" s="27"/>
      <c r="AP277" s="27"/>
      <c r="AQ277" s="27"/>
      <c r="AR277" s="27"/>
      <c r="AS277" s="27"/>
    </row>
    <row r="278" spans="1:45" hidden="1">
      <c r="A278" s="97" t="s">
        <v>167</v>
      </c>
      <c r="B278" s="98">
        <f t="shared" ca="1" si="35"/>
        <v>2.1582120483264933</v>
      </c>
      <c r="C278" s="98">
        <f t="shared" ca="1" si="36"/>
        <v>2.6882433202660998</v>
      </c>
      <c r="D278" s="98" t="str">
        <f t="shared" ca="1" si="37"/>
        <v/>
      </c>
      <c r="E278" s="98">
        <f t="shared" ca="1" si="38"/>
        <v>3.7256507833083443</v>
      </c>
      <c r="F278" s="98">
        <f t="shared" ca="1" si="39"/>
        <v>3.9287779239574778</v>
      </c>
      <c r="G278" s="98" t="str">
        <f t="shared" ca="1" si="40"/>
        <v/>
      </c>
      <c r="H278" s="98">
        <f t="shared" ca="1" si="41"/>
        <v>-1.567438734981851</v>
      </c>
      <c r="I278" s="98">
        <f t="shared" ca="1" si="42"/>
        <v>-1.240534603691378</v>
      </c>
      <c r="J278" s="98" t="str">
        <f t="shared" ca="1" si="43"/>
        <v/>
      </c>
      <c r="M278" s="200" t="s">
        <v>167</v>
      </c>
      <c r="N278" s="71">
        <f t="shared" si="28"/>
        <v>29224340</v>
      </c>
      <c r="O278" s="71">
        <f t="shared" si="29"/>
        <v>32283779</v>
      </c>
      <c r="P278" s="71">
        <f t="shared" si="30"/>
        <v>32283779</v>
      </c>
      <c r="Q278" s="71">
        <f t="shared" si="31"/>
        <v>36103656</v>
      </c>
      <c r="R278" s="71">
        <f t="shared" si="32"/>
        <v>36088740</v>
      </c>
      <c r="S278" s="71">
        <f t="shared" si="33"/>
        <v>39072483</v>
      </c>
      <c r="T278" s="71">
        <f t="shared" si="34"/>
        <v>39564221</v>
      </c>
      <c r="U278" s="71">
        <f t="shared" si="34"/>
        <v>40652318</v>
      </c>
      <c r="V278" s="71">
        <f t="shared" si="34"/>
        <v>43026190</v>
      </c>
      <c r="W278" s="71">
        <f t="shared" si="34"/>
        <v>45538272.107807383</v>
      </c>
      <c r="AO278" s="27"/>
      <c r="AP278" s="27"/>
      <c r="AQ278" s="27"/>
      <c r="AR278" s="27"/>
      <c r="AS278" s="27"/>
    </row>
    <row r="279" spans="1:45" hidden="1">
      <c r="A279" s="108" t="s">
        <v>168</v>
      </c>
      <c r="B279" s="98">
        <f t="shared" ref="B279:G279" ca="1" si="44">SUM(B267:B278)</f>
        <v>24.607228608710578</v>
      </c>
      <c r="C279" s="98">
        <f t="shared" ca="1" si="44"/>
        <v>23.512230774209847</v>
      </c>
      <c r="D279" s="98">
        <f t="shared" ca="1" si="44"/>
        <v>14.854200698274356</v>
      </c>
      <c r="E279" s="98">
        <f t="shared" ca="1" si="44"/>
        <v>27.270346962748839</v>
      </c>
      <c r="F279" s="98">
        <f t="shared" ca="1" si="44"/>
        <v>28.676906029815797</v>
      </c>
      <c r="G279" s="98">
        <f t="shared" ca="1" si="44"/>
        <v>15.761312576678669</v>
      </c>
      <c r="H279" s="108" t="s">
        <v>61</v>
      </c>
      <c r="I279" s="108" t="s">
        <v>61</v>
      </c>
      <c r="J279" s="108" t="s">
        <v>61</v>
      </c>
      <c r="AO279" s="27"/>
      <c r="AP279" s="27"/>
      <c r="AQ279" s="27"/>
      <c r="AR279" s="27"/>
      <c r="AS279" s="27"/>
    </row>
    <row r="280" spans="1:45" hidden="1">
      <c r="A280" s="89"/>
      <c r="B280" s="89"/>
      <c r="C280" s="89"/>
      <c r="D280" s="89"/>
      <c r="E280" s="89"/>
      <c r="F280" s="89"/>
      <c r="G280" s="89"/>
      <c r="H280" s="89"/>
      <c r="I280" s="89"/>
      <c r="J280" s="89"/>
      <c r="AO280" s="27"/>
      <c r="AP280" s="27"/>
      <c r="AQ280" s="27"/>
      <c r="AR280" s="27"/>
      <c r="AS280" s="27"/>
    </row>
    <row r="281" spans="1:45" hidden="1">
      <c r="A281" s="89"/>
      <c r="B281" s="89"/>
      <c r="C281" s="89"/>
      <c r="D281" s="89"/>
      <c r="E281" s="89"/>
      <c r="F281" s="89"/>
      <c r="G281" s="89"/>
      <c r="H281" s="89"/>
      <c r="I281" s="89"/>
      <c r="J281" s="89"/>
      <c r="AO281" s="27"/>
      <c r="AP281" s="27"/>
      <c r="AQ281" s="27"/>
      <c r="AR281" s="27"/>
      <c r="AS281" s="27"/>
    </row>
    <row r="282" spans="1:45" hidden="1">
      <c r="A282" s="89"/>
      <c r="B282" s="89"/>
      <c r="C282" s="89"/>
      <c r="D282" s="89"/>
      <c r="E282" s="89"/>
      <c r="F282" s="89"/>
      <c r="G282" s="89"/>
      <c r="H282" s="89"/>
      <c r="I282" s="89"/>
      <c r="J282" s="89"/>
    </row>
    <row r="283" spans="1:45" hidden="1">
      <c r="A283" s="89"/>
      <c r="B283" s="89"/>
      <c r="C283" s="89"/>
      <c r="D283" s="89"/>
      <c r="E283" s="89"/>
      <c r="F283" s="89"/>
      <c r="G283" s="89"/>
      <c r="H283" s="89"/>
      <c r="I283" s="89"/>
      <c r="J283" s="89"/>
    </row>
    <row r="284" spans="1:45" hidden="1">
      <c r="A284" s="89"/>
      <c r="B284" s="89"/>
      <c r="C284" s="89"/>
      <c r="D284" s="89"/>
      <c r="E284" s="89"/>
      <c r="F284" s="89"/>
      <c r="G284" s="89"/>
      <c r="H284" s="89"/>
      <c r="I284" s="89"/>
      <c r="J284" s="89"/>
    </row>
    <row r="285" spans="1:45" hidden="1">
      <c r="A285" s="89"/>
      <c r="B285" s="89"/>
      <c r="C285" s="89"/>
      <c r="D285" s="89"/>
      <c r="E285" s="89"/>
      <c r="F285" s="89"/>
      <c r="G285" s="89"/>
      <c r="H285" s="89"/>
      <c r="I285" s="89"/>
      <c r="J285" s="89"/>
    </row>
    <row r="286" spans="1:45" hidden="1">
      <c r="A286" s="89"/>
      <c r="B286" s="89"/>
      <c r="C286" s="89"/>
      <c r="D286" s="89"/>
      <c r="E286" s="89"/>
      <c r="F286" s="89"/>
      <c r="G286" s="89"/>
      <c r="H286" s="89"/>
      <c r="I286" s="89"/>
      <c r="J286" s="89"/>
    </row>
    <row r="287" spans="1:45" hidden="1">
      <c r="A287" s="89"/>
      <c r="B287" s="89"/>
      <c r="C287" s="89"/>
      <c r="D287" s="89"/>
      <c r="E287" s="89"/>
      <c r="F287" s="89"/>
      <c r="G287" s="89"/>
      <c r="H287" s="89"/>
      <c r="I287" s="89"/>
      <c r="J287" s="89"/>
    </row>
    <row r="288" spans="1:45" hidden="1">
      <c r="A288" s="89"/>
      <c r="B288" s="89"/>
      <c r="C288" s="89"/>
      <c r="D288" s="89"/>
      <c r="E288" s="89"/>
      <c r="F288" s="89"/>
      <c r="G288" s="89"/>
      <c r="H288" s="89"/>
      <c r="I288" s="89"/>
      <c r="J288" s="89"/>
    </row>
    <row r="289" spans="1:10" hidden="1">
      <c r="A289" s="89"/>
      <c r="B289" s="89"/>
      <c r="C289" s="89"/>
      <c r="D289" s="89"/>
      <c r="E289" s="89"/>
      <c r="F289" s="89"/>
      <c r="G289" s="89"/>
      <c r="H289" s="89"/>
      <c r="I289" s="89"/>
      <c r="J289" s="89"/>
    </row>
    <row r="290" spans="1:10" hidden="1">
      <c r="A290" s="89"/>
      <c r="B290" s="89"/>
      <c r="C290" s="89"/>
      <c r="D290" s="89"/>
      <c r="E290" s="89"/>
      <c r="F290" s="89"/>
      <c r="G290" s="89"/>
      <c r="H290" s="89"/>
      <c r="I290" s="89"/>
      <c r="J290" s="89"/>
    </row>
    <row r="291" spans="1:10" hidden="1">
      <c r="A291" s="89"/>
      <c r="B291" s="89"/>
      <c r="C291" s="89"/>
      <c r="D291" s="89"/>
      <c r="E291" s="89"/>
      <c r="F291" s="89"/>
      <c r="G291" s="89"/>
      <c r="H291" s="89"/>
      <c r="I291" s="89"/>
      <c r="J291" s="89"/>
    </row>
    <row r="292" spans="1:10" hidden="1">
      <c r="A292" s="89"/>
      <c r="B292" s="89"/>
      <c r="C292" s="89"/>
      <c r="D292" s="89"/>
      <c r="E292" s="89"/>
      <c r="F292" s="89"/>
      <c r="G292" s="89"/>
      <c r="H292" s="89"/>
      <c r="I292" s="89"/>
      <c r="J292" s="89"/>
    </row>
    <row r="293" spans="1:10" hidden="1">
      <c r="A293" s="89"/>
      <c r="B293" s="89"/>
      <c r="C293" s="89"/>
      <c r="D293" s="89"/>
      <c r="E293" s="89"/>
      <c r="F293" s="89"/>
      <c r="G293" s="89"/>
      <c r="H293" s="89"/>
      <c r="I293" s="89"/>
      <c r="J293" s="89"/>
    </row>
    <row r="294" spans="1:10" hidden="1">
      <c r="A294" s="89"/>
      <c r="B294" s="89"/>
      <c r="C294" s="89"/>
      <c r="D294" s="89"/>
      <c r="E294" s="89"/>
      <c r="F294" s="89"/>
      <c r="G294" s="89"/>
      <c r="H294" s="89"/>
      <c r="I294" s="89"/>
      <c r="J294" s="89"/>
    </row>
    <row r="295" spans="1:10" hidden="1">
      <c r="A295" s="89"/>
      <c r="B295" s="89"/>
      <c r="C295" s="89"/>
      <c r="D295" s="89"/>
      <c r="E295" s="89"/>
      <c r="F295" s="89"/>
      <c r="G295" s="89"/>
      <c r="H295" s="89"/>
      <c r="I295" s="89"/>
      <c r="J295" s="89"/>
    </row>
    <row r="296" spans="1:10" hidden="1">
      <c r="A296" s="89"/>
      <c r="B296" s="89"/>
      <c r="C296" s="89"/>
      <c r="D296" s="89"/>
      <c r="E296" s="89"/>
      <c r="F296" s="89"/>
      <c r="G296" s="89"/>
      <c r="H296" s="89"/>
      <c r="I296" s="89"/>
      <c r="J296" s="89"/>
    </row>
    <row r="297" spans="1:10" hidden="1">
      <c r="A297" s="89"/>
      <c r="B297" s="89"/>
      <c r="C297" s="89"/>
      <c r="D297" s="89"/>
      <c r="E297" s="89"/>
      <c r="F297" s="89"/>
      <c r="G297" s="89"/>
      <c r="H297" s="89"/>
      <c r="I297" s="89"/>
      <c r="J297" s="89"/>
    </row>
    <row r="298" spans="1:10" hidden="1">
      <c r="A298" s="89"/>
      <c r="B298" s="89"/>
      <c r="C298" s="89"/>
      <c r="D298" s="89"/>
      <c r="E298" s="89"/>
      <c r="F298" s="89"/>
      <c r="G298" s="89"/>
      <c r="H298" s="89"/>
      <c r="I298" s="89"/>
      <c r="J298" s="89"/>
    </row>
    <row r="299" spans="1:10" hidden="1">
      <c r="A299" s="89"/>
      <c r="B299" s="89"/>
      <c r="C299" s="89"/>
      <c r="D299" s="89"/>
      <c r="E299" s="89"/>
      <c r="F299" s="89"/>
      <c r="G299" s="89"/>
      <c r="H299" s="89"/>
      <c r="I299" s="89"/>
      <c r="J299" s="89"/>
    </row>
    <row r="300" spans="1:10" hidden="1">
      <c r="A300" s="89"/>
      <c r="B300" s="89"/>
      <c r="C300" s="89"/>
      <c r="D300" s="89"/>
      <c r="E300" s="89"/>
      <c r="F300" s="89"/>
      <c r="G300" s="89"/>
      <c r="H300" s="89"/>
      <c r="I300" s="89"/>
      <c r="J300" s="89"/>
    </row>
    <row r="301" spans="1:10" hidden="1">
      <c r="A301" s="89"/>
      <c r="B301" s="89"/>
      <c r="C301" s="89"/>
      <c r="D301" s="89"/>
      <c r="E301" s="89"/>
      <c r="F301" s="89"/>
      <c r="G301" s="89"/>
      <c r="H301" s="89"/>
      <c r="I301" s="89"/>
      <c r="J301" s="89"/>
    </row>
    <row r="302" spans="1:10" hidden="1">
      <c r="A302" s="89"/>
      <c r="B302" s="89"/>
      <c r="C302" s="89"/>
      <c r="D302" s="89"/>
      <c r="E302" s="89"/>
      <c r="F302" s="89"/>
      <c r="G302" s="89"/>
      <c r="H302" s="89"/>
      <c r="I302" s="89"/>
      <c r="J302" s="89"/>
    </row>
    <row r="303" spans="1:10" hidden="1">
      <c r="A303" s="89"/>
      <c r="B303" s="89"/>
      <c r="C303" s="89"/>
      <c r="D303" s="89"/>
      <c r="E303" s="89"/>
      <c r="F303" s="89"/>
      <c r="G303" s="89"/>
      <c r="H303" s="89"/>
      <c r="I303" s="89"/>
      <c r="J303" s="89"/>
    </row>
    <row r="304" spans="1:10" hidden="1">
      <c r="A304" s="89"/>
      <c r="B304" s="89"/>
      <c r="C304" s="89"/>
      <c r="D304" s="89"/>
      <c r="E304" s="89"/>
      <c r="F304" s="89"/>
      <c r="G304" s="89"/>
      <c r="H304" s="89"/>
      <c r="I304" s="89"/>
      <c r="J304" s="89"/>
    </row>
    <row r="305" spans="1:10" hidden="1">
      <c r="A305" s="89"/>
      <c r="B305" s="89"/>
      <c r="C305" s="89"/>
      <c r="D305" s="89"/>
      <c r="E305" s="89"/>
      <c r="F305" s="89"/>
      <c r="G305" s="89"/>
      <c r="H305" s="89"/>
      <c r="I305" s="89"/>
      <c r="J305" s="89"/>
    </row>
    <row r="306" spans="1:10" hidden="1">
      <c r="A306" s="89"/>
      <c r="B306" s="89"/>
      <c r="C306" s="89"/>
      <c r="D306" s="89"/>
      <c r="E306" s="89"/>
      <c r="F306" s="89"/>
      <c r="G306" s="89"/>
      <c r="H306" s="89"/>
      <c r="I306" s="89"/>
      <c r="J306" s="89"/>
    </row>
    <row r="307" spans="1:10" hidden="1">
      <c r="A307" s="89"/>
      <c r="B307" s="89"/>
      <c r="C307" s="89"/>
      <c r="D307" s="89"/>
      <c r="E307" s="89"/>
      <c r="F307" s="89"/>
      <c r="G307" s="89"/>
      <c r="H307" s="89"/>
      <c r="I307" s="89"/>
      <c r="J307" s="89"/>
    </row>
    <row r="308" spans="1:10" hidden="1">
      <c r="A308" s="89"/>
      <c r="B308" s="89"/>
      <c r="C308" s="89"/>
      <c r="D308" s="89"/>
      <c r="E308" s="89"/>
      <c r="F308" s="89"/>
      <c r="G308" s="89"/>
      <c r="H308" s="89"/>
      <c r="I308" s="89"/>
      <c r="J308" s="89"/>
    </row>
    <row r="309" spans="1:10" hidden="1">
      <c r="A309" s="89"/>
      <c r="B309" s="89"/>
      <c r="C309" s="89"/>
      <c r="D309" s="89"/>
      <c r="E309" s="89"/>
      <c r="F309" s="89"/>
      <c r="G309" s="89"/>
      <c r="H309" s="89"/>
      <c r="I309" s="89"/>
      <c r="J309" s="89"/>
    </row>
    <row r="310" spans="1:10" hidden="1">
      <c r="A310" s="89"/>
      <c r="B310" s="89"/>
      <c r="C310" s="89"/>
      <c r="D310" s="89"/>
      <c r="E310" s="89"/>
      <c r="F310" s="89"/>
      <c r="G310" s="89"/>
      <c r="H310" s="89"/>
      <c r="I310" s="89"/>
      <c r="J310" s="89"/>
    </row>
    <row r="311" spans="1:10" hidden="1">
      <c r="A311" s="89"/>
      <c r="B311" s="89"/>
      <c r="C311" s="89"/>
      <c r="D311" s="89"/>
      <c r="E311" s="89"/>
      <c r="F311" s="89"/>
      <c r="G311" s="89"/>
      <c r="H311" s="89"/>
      <c r="I311" s="89"/>
      <c r="J311" s="89"/>
    </row>
    <row r="312" spans="1:10" hidden="1">
      <c r="A312" s="89"/>
      <c r="B312" s="89"/>
      <c r="C312" s="89"/>
      <c r="D312" s="89"/>
      <c r="E312" s="89"/>
      <c r="F312" s="89"/>
      <c r="G312" s="89"/>
      <c r="H312" s="89"/>
      <c r="I312" s="89"/>
      <c r="J312" s="89"/>
    </row>
    <row r="313" spans="1:10" hidden="1">
      <c r="A313" s="89"/>
      <c r="B313" s="89"/>
      <c r="C313" s="89"/>
      <c r="D313" s="89"/>
      <c r="E313" s="89"/>
      <c r="F313" s="89"/>
      <c r="G313" s="89"/>
      <c r="H313" s="89"/>
      <c r="I313" s="89"/>
      <c r="J313" s="89"/>
    </row>
    <row r="314" spans="1:10" hidden="1">
      <c r="A314" s="89"/>
      <c r="B314" s="89"/>
      <c r="C314" s="89"/>
      <c r="D314" s="89"/>
      <c r="E314" s="89"/>
      <c r="F314" s="89"/>
      <c r="G314" s="89"/>
      <c r="H314" s="89"/>
      <c r="I314" s="89"/>
      <c r="J314" s="89"/>
    </row>
    <row r="315" spans="1:10" hidden="1">
      <c r="A315" s="89"/>
      <c r="B315" s="89"/>
      <c r="C315" s="89"/>
      <c r="D315" s="89"/>
      <c r="E315" s="89"/>
      <c r="F315" s="89"/>
      <c r="G315" s="89"/>
      <c r="H315" s="89"/>
      <c r="I315" s="89"/>
      <c r="J315" s="89"/>
    </row>
    <row r="316" spans="1:10" hidden="1">
      <c r="A316" s="89"/>
      <c r="B316" s="89"/>
      <c r="C316" s="89"/>
      <c r="D316" s="89"/>
      <c r="E316" s="89"/>
      <c r="F316" s="89"/>
      <c r="G316" s="89"/>
      <c r="H316" s="89"/>
      <c r="I316" s="89"/>
      <c r="J316" s="89"/>
    </row>
    <row r="317" spans="1:10" hidden="1">
      <c r="A317" s="89"/>
      <c r="B317" s="89"/>
      <c r="C317" s="89"/>
      <c r="D317" s="89"/>
      <c r="E317" s="89"/>
      <c r="F317" s="89"/>
      <c r="G317" s="89"/>
      <c r="H317" s="89"/>
      <c r="I317" s="89"/>
      <c r="J317" s="89"/>
    </row>
    <row r="318" spans="1:10" hidden="1">
      <c r="A318" s="89"/>
      <c r="B318" s="89"/>
      <c r="C318" s="89"/>
      <c r="D318" s="89"/>
      <c r="E318" s="89"/>
      <c r="F318" s="89"/>
      <c r="G318" s="89"/>
      <c r="H318" s="89"/>
      <c r="I318" s="89"/>
      <c r="J318" s="89"/>
    </row>
    <row r="319" spans="1:10" hidden="1">
      <c r="A319" s="89"/>
      <c r="B319" s="89"/>
      <c r="C319" s="89"/>
      <c r="D319" s="89"/>
      <c r="E319" s="89"/>
      <c r="F319" s="89"/>
      <c r="G319" s="89"/>
      <c r="H319" s="89"/>
      <c r="I319" s="89"/>
      <c r="J319" s="89"/>
    </row>
    <row r="320" spans="1:10" hidden="1">
      <c r="A320" s="89"/>
      <c r="B320" s="89"/>
      <c r="C320" s="89"/>
      <c r="D320" s="89"/>
      <c r="E320" s="89"/>
      <c r="F320" s="89"/>
      <c r="G320" s="89"/>
      <c r="H320" s="89"/>
      <c r="I320" s="89"/>
      <c r="J320" s="89"/>
    </row>
    <row r="321" spans="1:10" hidden="1">
      <c r="A321" s="89"/>
      <c r="B321" s="89"/>
      <c r="C321" s="89"/>
      <c r="D321" s="89"/>
      <c r="E321" s="89"/>
      <c r="F321" s="89"/>
      <c r="G321" s="89"/>
      <c r="H321" s="89"/>
      <c r="I321" s="89"/>
      <c r="J321" s="89"/>
    </row>
    <row r="322" spans="1:10" hidden="1">
      <c r="A322" s="89"/>
      <c r="B322" s="89"/>
      <c r="C322" s="89"/>
      <c r="D322" s="89"/>
      <c r="E322" s="89"/>
      <c r="F322" s="89"/>
      <c r="G322" s="89"/>
      <c r="H322" s="89"/>
      <c r="I322" s="89"/>
      <c r="J322" s="89"/>
    </row>
    <row r="323" spans="1:10" hidden="1">
      <c r="A323" s="89"/>
      <c r="B323" s="89"/>
      <c r="C323" s="89"/>
      <c r="D323" s="89"/>
      <c r="E323" s="89"/>
      <c r="F323" s="89"/>
      <c r="G323" s="89"/>
      <c r="H323" s="89"/>
      <c r="I323" s="89"/>
      <c r="J323" s="89"/>
    </row>
    <row r="324" spans="1:10" hidden="1">
      <c r="A324" s="89"/>
      <c r="B324" s="89"/>
      <c r="C324" s="89"/>
      <c r="D324" s="89"/>
      <c r="E324" s="89"/>
      <c r="F324" s="89"/>
      <c r="G324" s="89"/>
      <c r="H324" s="89"/>
      <c r="I324" s="89"/>
      <c r="J324" s="89"/>
    </row>
    <row r="325" spans="1:10" hidden="1">
      <c r="A325" s="89"/>
      <c r="B325" s="89"/>
      <c r="C325" s="89"/>
      <c r="D325" s="89"/>
      <c r="E325" s="89"/>
      <c r="F325" s="89"/>
      <c r="G325" s="89"/>
      <c r="H325" s="89"/>
      <c r="I325" s="89"/>
      <c r="J325" s="89"/>
    </row>
    <row r="326" spans="1:10" hidden="1">
      <c r="A326" s="89"/>
      <c r="B326" s="89"/>
      <c r="C326" s="89"/>
      <c r="D326" s="89"/>
      <c r="E326" s="89"/>
      <c r="F326" s="89"/>
      <c r="G326" s="89"/>
      <c r="H326" s="89"/>
      <c r="I326" s="89"/>
      <c r="J326" s="89"/>
    </row>
    <row r="327" spans="1:10" hidden="1">
      <c r="A327" s="89"/>
      <c r="B327" s="89"/>
      <c r="C327" s="89"/>
      <c r="D327" s="89"/>
      <c r="E327" s="89"/>
      <c r="F327" s="89"/>
      <c r="G327" s="89"/>
      <c r="H327" s="89"/>
      <c r="I327" s="89"/>
      <c r="J327" s="89"/>
    </row>
    <row r="328" spans="1:10" hidden="1">
      <c r="A328" s="89"/>
      <c r="B328" s="89"/>
      <c r="C328" s="89"/>
      <c r="D328" s="89"/>
      <c r="E328" s="89"/>
      <c r="F328" s="89"/>
      <c r="G328" s="89"/>
      <c r="H328" s="89"/>
      <c r="I328" s="89"/>
      <c r="J328" s="89"/>
    </row>
    <row r="329" spans="1:10" hidden="1">
      <c r="A329" s="89"/>
      <c r="B329" s="89"/>
      <c r="C329" s="89"/>
      <c r="D329" s="89"/>
      <c r="E329" s="89"/>
      <c r="F329" s="89"/>
      <c r="G329" s="89"/>
      <c r="H329" s="89"/>
      <c r="I329" s="89"/>
      <c r="J329" s="89"/>
    </row>
    <row r="330" spans="1:10" hidden="1">
      <c r="A330" s="89"/>
      <c r="B330" s="89"/>
      <c r="C330" s="89"/>
      <c r="D330" s="89"/>
      <c r="E330" s="89"/>
      <c r="F330" s="89"/>
      <c r="G330" s="89"/>
      <c r="H330" s="89"/>
      <c r="I330" s="89"/>
      <c r="J330" s="89"/>
    </row>
    <row r="331" spans="1:10" hidden="1">
      <c r="A331" s="89"/>
      <c r="B331" s="89"/>
      <c r="C331" s="89"/>
      <c r="D331" s="89"/>
      <c r="E331" s="89"/>
      <c r="F331" s="89"/>
      <c r="G331" s="89"/>
      <c r="H331" s="89"/>
      <c r="I331" s="89"/>
      <c r="J331" s="89"/>
    </row>
    <row r="332" spans="1:10" hidden="1">
      <c r="A332" s="89"/>
      <c r="B332" s="89"/>
      <c r="C332" s="89"/>
      <c r="D332" s="89"/>
      <c r="E332" s="89"/>
      <c r="F332" s="89"/>
      <c r="G332" s="89"/>
      <c r="H332" s="89"/>
      <c r="I332" s="89"/>
      <c r="J332" s="89"/>
    </row>
    <row r="333" spans="1:10" hidden="1">
      <c r="A333" s="89"/>
      <c r="B333" s="89"/>
      <c r="C333" s="89"/>
      <c r="D333" s="89"/>
      <c r="E333" s="89"/>
      <c r="F333" s="89"/>
      <c r="G333" s="89"/>
      <c r="H333" s="89"/>
      <c r="I333" s="89"/>
      <c r="J333" s="89"/>
    </row>
    <row r="334" spans="1:10">
      <c r="A334" s="89"/>
      <c r="B334" s="89"/>
      <c r="C334" s="89"/>
      <c r="D334" s="89"/>
      <c r="E334" s="89"/>
      <c r="F334" s="89"/>
      <c r="G334" s="89"/>
      <c r="H334" s="89"/>
      <c r="I334" s="89"/>
      <c r="J334" s="89"/>
    </row>
    <row r="335" spans="1:10" ht="15" customHeight="1">
      <c r="A335" s="404" t="s">
        <v>64</v>
      </c>
      <c r="B335" s="405"/>
      <c r="C335" s="405"/>
      <c r="D335" s="405"/>
      <c r="E335" s="405"/>
      <c r="F335" s="405"/>
      <c r="G335" s="405"/>
      <c r="H335" s="405"/>
      <c r="I335" s="405"/>
      <c r="J335" s="406"/>
    </row>
    <row r="336" spans="1:10">
      <c r="A336" s="90" t="s">
        <v>30</v>
      </c>
      <c r="B336" s="102"/>
      <c r="C336" s="103" t="s">
        <v>53</v>
      </c>
      <c r="D336" s="104"/>
      <c r="E336" s="105"/>
      <c r="F336" s="103" t="s">
        <v>54</v>
      </c>
      <c r="G336" s="104"/>
      <c r="H336" s="105"/>
      <c r="I336" s="103" t="s">
        <v>55</v>
      </c>
      <c r="J336" s="104"/>
    </row>
    <row r="337" spans="1:10">
      <c r="A337" s="92">
        <v>1</v>
      </c>
      <c r="B337" s="93">
        <v>2</v>
      </c>
      <c r="C337" s="93">
        <v>3</v>
      </c>
      <c r="D337" s="93">
        <v>4</v>
      </c>
      <c r="E337" s="93">
        <v>5</v>
      </c>
      <c r="F337" s="93">
        <v>6</v>
      </c>
      <c r="G337" s="93">
        <v>7</v>
      </c>
      <c r="H337" s="106" t="s">
        <v>70</v>
      </c>
      <c r="I337" s="106" t="s">
        <v>71</v>
      </c>
      <c r="J337" s="106" t="s">
        <v>72</v>
      </c>
    </row>
    <row r="338" spans="1:10">
      <c r="A338" s="94"/>
      <c r="B338" s="93" t="s">
        <v>62</v>
      </c>
      <c r="C338" s="93" t="s">
        <v>51</v>
      </c>
      <c r="D338" s="93" t="s">
        <v>31</v>
      </c>
      <c r="E338" s="93" t="s">
        <v>62</v>
      </c>
      <c r="F338" s="93" t="s">
        <v>51</v>
      </c>
      <c r="G338" s="93" t="s">
        <v>31</v>
      </c>
      <c r="H338" s="93" t="s">
        <v>62</v>
      </c>
      <c r="I338" s="93" t="s">
        <v>51</v>
      </c>
      <c r="J338" s="93" t="s">
        <v>31</v>
      </c>
    </row>
    <row r="339" spans="1:10">
      <c r="A339" s="95"/>
      <c r="B339" s="107">
        <v>2024</v>
      </c>
      <c r="C339" s="107">
        <v>2025</v>
      </c>
      <c r="D339" s="107">
        <v>2026</v>
      </c>
      <c r="E339" s="107">
        <v>2024</v>
      </c>
      <c r="F339" s="107">
        <v>2025</v>
      </c>
      <c r="G339" s="107">
        <v>2026</v>
      </c>
      <c r="H339" s="107">
        <v>2024</v>
      </c>
      <c r="I339" s="107">
        <v>2025</v>
      </c>
      <c r="J339" s="107">
        <v>2026</v>
      </c>
    </row>
    <row r="340" spans="1:10">
      <c r="A340" s="97" t="s">
        <v>156</v>
      </c>
      <c r="B340" s="99">
        <f ca="1">IF(INDIRECT(ADDRESS(ROW('3'!BU$27),COLUMN('3'!BU$6)+ROW(A1)+$B$795,1,1,"3"))="","",INDIRECT(ADDRESS(ROW('3'!BU$27),COLUMN('3'!BU$6)+ROW(A1)+$B$795,1,1,"3")))</f>
        <v>418920.08</v>
      </c>
      <c r="C340" s="99">
        <f ca="1">IF(INDIRECT(ADDRESS(ROW('3'!BU$27),COLUMN('3'!BU$6)+ROW(A1)+$C$795,1,1,"3"))="","",INDIRECT(ADDRESS(ROW('3'!BU$27),COLUMN('3'!BU$6)+ROW(A1)+$C$795,1,1,"3")))</f>
        <v>467815.38360999996</v>
      </c>
      <c r="D340" s="99">
        <f ca="1">IF(INDIRECT(ADDRESS(ROW('3'!BU$27),COLUMN('3'!BU$6)+ROW(A1)+$D$795,1,1,"3"))="","",INDIRECT(ADDRESS(ROW('3'!BU$27),COLUMN('3'!BU$6)+ROW(A1)+$D$795,1,1,"3")))</f>
        <v>509610.05454000004</v>
      </c>
      <c r="E340" s="99">
        <f ca="1">IF(INDIRECT(ADDRESS(ROW('3'!BU$28),COLUMN('3'!BU$6)+ROW(A1)+$B$795,1,1,"3"))="","",INDIRECT(ADDRESS(ROW('3'!BU$28),COLUMN('3'!BU$6)+ROW(A1)+$B$795,1,1,"3")))</f>
        <v>384082.641</v>
      </c>
      <c r="F340" s="99">
        <f ca="1">IF(INDIRECT(ADDRESS(ROW('3'!BU$28),COLUMN('3'!BU$6)+ROW(A1)+$C$795,1,1,"3"))="","",INDIRECT(ADDRESS(ROW('3'!BU$28),COLUMN('3'!BU$6)+ROW(A1)+$C$795,1,1,"3")))</f>
        <v>385059.31140000006</v>
      </c>
      <c r="G340" s="99">
        <f ca="1">IF(INDIRECT(ADDRESS(ROW('3'!BU$28),COLUMN('3'!BU$6)+ROW(A1)+$D$795,1,1,"3"))="","",INDIRECT(ADDRESS(ROW('3'!BU$28),COLUMN('3'!BU$6)+ROW(A1)+$D$795,1,1,"3")))</f>
        <v>363386.57854000002</v>
      </c>
      <c r="H340" s="99">
        <f ca="1">IFERROR(B340-E340,"")</f>
        <v>34837.439000000013</v>
      </c>
      <c r="I340" s="99">
        <f ca="1">IFERROR(C340-F340,"")</f>
        <v>82756.072209999897</v>
      </c>
      <c r="J340" s="99">
        <f ca="1">IFERROR(D340-G340,"")</f>
        <v>146223.47600000002</v>
      </c>
    </row>
    <row r="341" spans="1:10">
      <c r="A341" s="97" t="s">
        <v>157</v>
      </c>
      <c r="B341" s="99">
        <f ca="1">IF(INDIRECT(ADDRESS(ROW('3'!BU$27),COLUMN('3'!BU$6)+ROW(A2)+$B$795,1,1,"3"))="","",INDIRECT(ADDRESS(ROW('3'!BU$27),COLUMN('3'!BU$6)+ROW(A2)+$B$795,1,1,"3")))</f>
        <v>375519.64900000003</v>
      </c>
      <c r="C341" s="99">
        <f ca="1">IF(INDIRECT(ADDRESS(ROW('3'!BU$27),COLUMN('3'!BU$6)+ROW(A2)+$C$795,1,1,"3"))="","",INDIRECT(ADDRESS(ROW('3'!BU$27),COLUMN('3'!BU$6)+ROW(A2)+$C$795,1,1,"3")))</f>
        <v>380804.92089000001</v>
      </c>
      <c r="D341" s="99">
        <f ca="1">IF(INDIRECT(ADDRESS(ROW('3'!BU$27),COLUMN('3'!BU$6)+ROW(A2)+$D$795,1,1,"3"))="","",INDIRECT(ADDRESS(ROW('3'!BU$27),COLUMN('3'!BU$6)+ROW(A2)+$D$795,1,1,"3")))</f>
        <v>417718.58872</v>
      </c>
      <c r="E341" s="99">
        <f ca="1">IF(INDIRECT(ADDRESS(ROW('3'!BU$28),COLUMN('3'!BU$6)+ROW(A2)+$B$795,1,1,"3"))="","",INDIRECT(ADDRESS(ROW('3'!BU$28),COLUMN('3'!BU$6)+ROW(A2)+$B$795,1,1,"3")))</f>
        <v>354883.67</v>
      </c>
      <c r="F341" s="99">
        <f ca="1">IF(INDIRECT(ADDRESS(ROW('3'!BU$28),COLUMN('3'!BU$6)+ROW(A2)+$C$795,1,1,"3"))="","",INDIRECT(ADDRESS(ROW('3'!BU$28),COLUMN('3'!BU$6)+ROW(A2)+$C$795,1,1,"3")))</f>
        <v>382316.42268999986</v>
      </c>
      <c r="G341" s="99">
        <f ca="1">IF(INDIRECT(ADDRESS(ROW('3'!BU$28),COLUMN('3'!BU$6)+ROW(A2)+$D$795,1,1,"3"))="","",INDIRECT(ADDRESS(ROW('3'!BU$28),COLUMN('3'!BU$6)+ROW(A2)+$D$795,1,1,"3")))</f>
        <v>415266.81387999991</v>
      </c>
      <c r="H341" s="99">
        <f t="shared" ref="H341:H351" ca="1" si="45">IFERROR(B341-E341,"")</f>
        <v>20635.97900000005</v>
      </c>
      <c r="I341" s="99">
        <f t="shared" ref="I341:I351" ca="1" si="46">IFERROR(C341-F341,"")</f>
        <v>-1511.5017999998527</v>
      </c>
      <c r="J341" s="99">
        <f t="shared" ref="J341:J351" ca="1" si="47">IFERROR(D341-G341,"")</f>
        <v>2451.7748400000855</v>
      </c>
    </row>
    <row r="342" spans="1:10">
      <c r="A342" s="97" t="s">
        <v>158</v>
      </c>
      <c r="B342" s="99">
        <f ca="1">IF(INDIRECT(ADDRESS(ROW('3'!BU$27),COLUMN('3'!BU$6)+ROW(A3)+$B$795,1,1,"3"))="","",INDIRECT(ADDRESS(ROW('3'!BU$27),COLUMN('3'!BU$6)+ROW(A3)+$B$795,1,1,"3")))</f>
        <v>354904.03700000001</v>
      </c>
      <c r="C342" s="99">
        <f ca="1">IF(INDIRECT(ADDRESS(ROW('3'!BU$27),COLUMN('3'!BU$6)+ROW(A3)+$C$795,1,1,"3"))="","",INDIRECT(ADDRESS(ROW('3'!BU$27),COLUMN('3'!BU$6)+ROW(A3)+$C$795,1,1,"3")))</f>
        <v>399315.07610999991</v>
      </c>
      <c r="D342" s="99">
        <f ca="1">IF(INDIRECT(ADDRESS(ROW('3'!BU$27),COLUMN('3'!BU$6)+ROW(A3)+$D$795,1,1,"3"))="","",INDIRECT(ADDRESS(ROW('3'!BU$27),COLUMN('3'!BU$6)+ROW(A3)+$D$795,1,1,"3")))</f>
        <v>426990.35977999982</v>
      </c>
      <c r="E342" s="99">
        <f ca="1">IF(INDIRECT(ADDRESS(ROW('3'!BU$28),COLUMN('3'!BU$6)+ROW(A3)+$B$795,1,1,"3"))="","",INDIRECT(ADDRESS(ROW('3'!BU$28),COLUMN('3'!BU$6)+ROW(A3)+$B$795,1,1,"3")))</f>
        <v>327126.696</v>
      </c>
      <c r="F342" s="99">
        <f ca="1">IF(INDIRECT(ADDRESS(ROW('3'!BU$28),COLUMN('3'!BU$6)+ROW(A3)+$C$795,1,1,"3"))="","",INDIRECT(ADDRESS(ROW('3'!BU$28),COLUMN('3'!BU$6)+ROW(A3)+$C$795,1,1,"3")))</f>
        <v>381995.31789000006</v>
      </c>
      <c r="G342" s="99">
        <f ca="1">IF(INDIRECT(ADDRESS(ROW('3'!BU$28),COLUMN('3'!BU$6)+ROW(A3)+$D$795,1,1,"3"))="","",INDIRECT(ADDRESS(ROW('3'!BU$28),COLUMN('3'!BU$6)+ROW(A3)+$D$795,1,1,"3")))</f>
        <v>429396.86533000018</v>
      </c>
      <c r="H342" s="99">
        <f t="shared" ca="1" si="45"/>
        <v>27777.341000000015</v>
      </c>
      <c r="I342" s="99">
        <f t="shared" ca="1" si="46"/>
        <v>17319.758219999843</v>
      </c>
      <c r="J342" s="99">
        <f t="shared" ca="1" si="47"/>
        <v>-2406.5055500003509</v>
      </c>
    </row>
    <row r="343" spans="1:10">
      <c r="A343" s="97" t="s">
        <v>159</v>
      </c>
      <c r="B343" s="99">
        <f ca="1">IF(INDIRECT(ADDRESS(ROW('3'!BU$27),COLUMN('3'!BU$6)+ROW(A4)+$B$795,1,1,"3"))="","",INDIRECT(ADDRESS(ROW('3'!BU$27),COLUMN('3'!BU$6)+ROW(A4)+$B$795,1,1,"3")))</f>
        <v>418219.87999999989</v>
      </c>
      <c r="C343" s="99">
        <f ca="1">IF(INDIRECT(ADDRESS(ROW('3'!BU$27),COLUMN('3'!BU$6)+ROW(A4)+$C$795,1,1,"3"))="","",INDIRECT(ADDRESS(ROW('3'!BU$27),COLUMN('3'!BU$6)+ROW(A4)+$C$795,1,1,"3")))</f>
        <v>411874.29661999992</v>
      </c>
      <c r="D343" s="99">
        <f ca="1">IF(INDIRECT(ADDRESS(ROW('3'!BU$27),COLUMN('3'!BU$6)+ROW(A4)+$D$795,1,1,"3"))="","",INDIRECT(ADDRESS(ROW('3'!BU$27),COLUMN('3'!BU$6)+ROW(A4)+$D$795,1,1,"3")))</f>
        <v>462965.77572000003</v>
      </c>
      <c r="E343" s="99">
        <f ca="1">IF(INDIRECT(ADDRESS(ROW('3'!BU$28),COLUMN('3'!BU$6)+ROW(A4)+$B$795,1,1,"3"))="","",INDIRECT(ADDRESS(ROW('3'!BU$28),COLUMN('3'!BU$6)+ROW(A4)+$B$795,1,1,"3")))</f>
        <v>361926.3330000001</v>
      </c>
      <c r="F343" s="99">
        <f ca="1">IF(INDIRECT(ADDRESS(ROW('3'!BU$28),COLUMN('3'!BU$6)+ROW(A4)+$C$795,1,1,"3"))="","",INDIRECT(ADDRESS(ROW('3'!BU$28),COLUMN('3'!BU$6)+ROW(A4)+$C$795,1,1,"3")))</f>
        <v>445218.19495999976</v>
      </c>
      <c r="G343" s="99">
        <f ca="1">IF(INDIRECT(ADDRESS(ROW('3'!BU$28),COLUMN('3'!BU$6)+ROW(A4)+$D$795,1,1,"3"))="","",INDIRECT(ADDRESS(ROW('3'!BU$28),COLUMN('3'!BU$6)+ROW(A4)+$D$795,1,1,"3")))</f>
        <v>471917.20111999987</v>
      </c>
      <c r="H343" s="99">
        <f t="shared" ca="1" si="45"/>
        <v>56293.546999999788</v>
      </c>
      <c r="I343" s="99">
        <f t="shared" ca="1" si="46"/>
        <v>-33343.89833999984</v>
      </c>
      <c r="J343" s="99">
        <f t="shared" ca="1" si="47"/>
        <v>-8951.4253999998327</v>
      </c>
    </row>
    <row r="344" spans="1:10">
      <c r="A344" s="97" t="s">
        <v>160</v>
      </c>
      <c r="B344" s="99">
        <f ca="1">IF(INDIRECT(ADDRESS(ROW('3'!BU$27),COLUMN('3'!BU$6)+ROW(A5)+$B$795,1,1,"3"))="","",INDIRECT(ADDRESS(ROW('3'!BU$27),COLUMN('3'!BU$6)+ROW(A5)+$B$795,1,1,"3")))</f>
        <v>380821.70200000005</v>
      </c>
      <c r="C344" s="99">
        <f ca="1">IF(INDIRECT(ADDRESS(ROW('3'!BU$27),COLUMN('3'!BU$6)+ROW(A5)+$C$795,1,1,"3"))="","",INDIRECT(ADDRESS(ROW('3'!BU$27),COLUMN('3'!BU$6)+ROW(A5)+$C$795,1,1,"3")))</f>
        <v>423672.29734000028</v>
      </c>
      <c r="D344" s="99">
        <f ca="1">IF(INDIRECT(ADDRESS(ROW('3'!BU$27),COLUMN('3'!BU$6)+ROW(A5)+$D$795,1,1,"3"))="","",INDIRECT(ADDRESS(ROW('3'!BU$27),COLUMN('3'!BU$6)+ROW(A5)+$D$795,1,1,"3")))</f>
        <v>464424.98145000008</v>
      </c>
      <c r="E344" s="99">
        <f ca="1">IF(INDIRECT(ADDRESS(ROW('3'!BU$28),COLUMN('3'!BU$6)+ROW(A5)+$B$795,1,1,"3"))="","",INDIRECT(ADDRESS(ROW('3'!BU$28),COLUMN('3'!BU$6)+ROW(A5)+$B$795,1,1,"3")))</f>
        <v>349325.47699999996</v>
      </c>
      <c r="F344" s="99">
        <f ca="1">IF(INDIRECT(ADDRESS(ROW('3'!BU$28),COLUMN('3'!BU$6)+ROW(A5)+$C$795,1,1,"3"))="","",INDIRECT(ADDRESS(ROW('3'!BU$28),COLUMN('3'!BU$6)+ROW(A5)+$C$795,1,1,"3")))</f>
        <v>318529.61986000021</v>
      </c>
      <c r="G344" s="99">
        <f ca="1">IF(INDIRECT(ADDRESS(ROW('3'!BU$28),COLUMN('3'!BU$6)+ROW(A5)+$D$795,1,1,"3"))="","",INDIRECT(ADDRESS(ROW('3'!BU$28),COLUMN('3'!BU$6)+ROW(A5)+$D$795,1,1,"3")))</f>
        <v>358954.3630700002</v>
      </c>
      <c r="H344" s="99">
        <f t="shared" ca="1" si="45"/>
        <v>31496.225000000093</v>
      </c>
      <c r="I344" s="99">
        <f t="shared" ca="1" si="46"/>
        <v>105142.67748000007</v>
      </c>
      <c r="J344" s="99">
        <f t="shared" ca="1" si="47"/>
        <v>105470.61837999988</v>
      </c>
    </row>
    <row r="345" spans="1:10">
      <c r="A345" s="97" t="s">
        <v>161</v>
      </c>
      <c r="B345" s="99">
        <f ca="1">IF(INDIRECT(ADDRESS(ROW('3'!BU$27),COLUMN('3'!BU$6)+ROW(A6)+$B$795,1,1,"3"))="","",INDIRECT(ADDRESS(ROW('3'!BU$27),COLUMN('3'!BU$6)+ROW(A6)+$B$795,1,1,"3")))</f>
        <v>382971.3600000001</v>
      </c>
      <c r="C345" s="99">
        <f ca="1">IF(INDIRECT(ADDRESS(ROW('3'!BU$27),COLUMN('3'!BU$6)+ROW(A6)+$C$795,1,1,"3"))="","",INDIRECT(ADDRESS(ROW('3'!BU$27),COLUMN('3'!BU$6)+ROW(A6)+$C$795,1,1,"3")))</f>
        <v>427821.50489999959</v>
      </c>
      <c r="D345" s="99">
        <f ca="1">IF(INDIRECT(ADDRESS(ROW('3'!BU$27),COLUMN('3'!BU$6)+ROW(A6)+$D$795,1,1,"3"))="","",INDIRECT(ADDRESS(ROW('3'!BU$27),COLUMN('3'!BU$6)+ROW(A6)+$D$795,1,1,"3")))</f>
        <v>457853.08846999984</v>
      </c>
      <c r="E345" s="99">
        <f ca="1">IF(INDIRECT(ADDRESS(ROW('3'!BU$28),COLUMN('3'!BU$6)+ROW(A6)+$B$795,1,1,"3"))="","",INDIRECT(ADDRESS(ROW('3'!BU$28),COLUMN('3'!BU$6)+ROW(A6)+$B$795,1,1,"3")))</f>
        <v>346076.69299999974</v>
      </c>
      <c r="F345" s="99">
        <f ca="1">IF(INDIRECT(ADDRESS(ROW('3'!BU$28),COLUMN('3'!BU$6)+ROW(A6)+$C$795,1,1,"3"))="","",INDIRECT(ADDRESS(ROW('3'!BU$28),COLUMN('3'!BU$6)+ROW(A6)+$C$795,1,1,"3")))</f>
        <v>374583.23346000025</v>
      </c>
      <c r="G345" s="99">
        <f ca="1">IF(INDIRECT(ADDRESS(ROW('3'!BU$28),COLUMN('3'!BU$6)+ROW(A6)+$D$795,1,1,"3"))="","",INDIRECT(ADDRESS(ROW('3'!BU$28),COLUMN('3'!BU$6)+ROW(A6)+$D$795,1,1,"3")))</f>
        <v>421128.02071999945</v>
      </c>
      <c r="H345" s="99">
        <f t="shared" ca="1" si="45"/>
        <v>36894.667000000365</v>
      </c>
      <c r="I345" s="99">
        <f t="shared" ca="1" si="46"/>
        <v>53238.271439999342</v>
      </c>
      <c r="J345" s="99">
        <f t="shared" ca="1" si="47"/>
        <v>36725.067750000395</v>
      </c>
    </row>
    <row r="346" spans="1:10">
      <c r="A346" s="97" t="s">
        <v>162</v>
      </c>
      <c r="B346" s="99">
        <f ca="1">IF(INDIRECT(ADDRESS(ROW('3'!BU$27),COLUMN('3'!BU$6)+ROW(A7)+$B$795,1,1,"3"))="","",INDIRECT(ADDRESS(ROW('3'!BU$27),COLUMN('3'!BU$6)+ROW(A7)+$B$795,1,1,"3")))</f>
        <v>394615.49099999992</v>
      </c>
      <c r="C346" s="99">
        <f ca="1">IF(INDIRECT(ADDRESS(ROW('3'!BU$27),COLUMN('3'!BU$6)+ROW(A7)+$C$795,1,1,"3"))="","",INDIRECT(ADDRESS(ROW('3'!BU$27),COLUMN('3'!BU$6)+ROW(A7)+$C$795,1,1,"3")))</f>
        <v>459364.36483000033</v>
      </c>
      <c r="D346" s="99">
        <f ca="1">IF(INDIRECT(ADDRESS(ROW('3'!BU$27),COLUMN('3'!BU$6)+ROW(A7)+$D$795,1,1,"3"))="","",INDIRECT(ADDRESS(ROW('3'!BU$27),COLUMN('3'!BU$6)+ROW(A7)+$D$795,1,1,"3")))</f>
        <v>499538.53207000019</v>
      </c>
      <c r="E346" s="99">
        <f ca="1">IF(INDIRECT(ADDRESS(ROW('3'!BU$28),COLUMN('3'!BU$6)+ROW(A7)+$B$795,1,1,"3"))="","",INDIRECT(ADDRESS(ROW('3'!BU$28),COLUMN('3'!BU$6)+ROW(A7)+$B$795,1,1,"3")))</f>
        <v>352485.14000000013</v>
      </c>
      <c r="F346" s="99">
        <f ca="1">IF(INDIRECT(ADDRESS(ROW('3'!BU$28),COLUMN('3'!BU$6)+ROW(A7)+$C$795,1,1,"3"))="","",INDIRECT(ADDRESS(ROW('3'!BU$28),COLUMN('3'!BU$6)+ROW(A7)+$C$795,1,1,"3")))</f>
        <v>383759.59827999957</v>
      </c>
      <c r="G346" s="99">
        <f ca="1">IF(INDIRECT(ADDRESS(ROW('3'!BU$28),COLUMN('3'!BU$6)+ROW(A7)+$D$795,1,1,"3"))="","",INDIRECT(ADDRESS(ROW('3'!BU$28),COLUMN('3'!BU$6)+ROW(A7)+$D$795,1,1,"3")))</f>
        <v>418536.47725000046</v>
      </c>
      <c r="H346" s="99">
        <f t="shared" ca="1" si="45"/>
        <v>42130.350999999791</v>
      </c>
      <c r="I346" s="99">
        <f t="shared" ca="1" si="46"/>
        <v>75604.766550000757</v>
      </c>
      <c r="J346" s="99">
        <f t="shared" ca="1" si="47"/>
        <v>81002.054819999728</v>
      </c>
    </row>
    <row r="347" spans="1:10">
      <c r="A347" s="97" t="s">
        <v>163</v>
      </c>
      <c r="B347" s="99">
        <f ca="1">IF(INDIRECT(ADDRESS(ROW('3'!BU$27),COLUMN('3'!BU$6)+ROW(A8)+$B$795,1,1,"3"))="","",INDIRECT(ADDRESS(ROW('3'!BU$27),COLUMN('3'!BU$6)+ROW(A8)+$B$795,1,1,"3")))</f>
        <v>401394.84700000007</v>
      </c>
      <c r="C347" s="99">
        <f ca="1">IF(INDIRECT(ADDRESS(ROW('3'!BU$27),COLUMN('3'!BU$6)+ROW(A8)+$C$795,1,1,"3"))="","",INDIRECT(ADDRESS(ROW('3'!BU$27),COLUMN('3'!BU$6)+ROW(A8)+$C$795,1,1,"3")))</f>
        <v>457105.74471999984</v>
      </c>
      <c r="D347" s="99" t="str">
        <f ca="1">IF(INDIRECT(ADDRESS(ROW('3'!BU$27),COLUMN('3'!BU$6)+ROW(A8)+$D$795,1,1,"3"))="","",INDIRECT(ADDRESS(ROW('3'!BU$27),COLUMN('3'!BU$6)+ROW(A8)+$D$795,1,1,"3")))</f>
        <v/>
      </c>
      <c r="E347" s="99">
        <f ca="1">IF(INDIRECT(ADDRESS(ROW('3'!BU$28),COLUMN('3'!BU$6)+ROW(A8)+$B$795,1,1,"3"))="","",INDIRECT(ADDRESS(ROW('3'!BU$28),COLUMN('3'!BU$6)+ROW(A8)+$B$795,1,1,"3")))</f>
        <v>350614.46200000029</v>
      </c>
      <c r="F347" s="99">
        <f ca="1">IF(INDIRECT(ADDRESS(ROW('3'!BU$28),COLUMN('3'!BU$6)+ROW(A8)+$C$795,1,1,"3"))="","",INDIRECT(ADDRESS(ROW('3'!BU$28),COLUMN('3'!BU$6)+ROW(A8)+$C$795,1,1,"3")))</f>
        <v>378063.76707000053</v>
      </c>
      <c r="G347" s="99" t="str">
        <f ca="1">IF(INDIRECT(ADDRESS(ROW('3'!BU$28),COLUMN('3'!BU$6)+ROW(A8)+$D$795,1,1,"3"))="","",INDIRECT(ADDRESS(ROW('3'!BU$28),COLUMN('3'!BU$6)+ROW(A8)+$D$795,1,1,"3")))</f>
        <v/>
      </c>
      <c r="H347" s="99">
        <f t="shared" ca="1" si="45"/>
        <v>50780.384999999776</v>
      </c>
      <c r="I347" s="99">
        <f t="shared" ca="1" si="46"/>
        <v>79041.977649999317</v>
      </c>
      <c r="J347" s="99" t="str">
        <f t="shared" ca="1" si="47"/>
        <v/>
      </c>
    </row>
    <row r="348" spans="1:10">
      <c r="A348" s="97" t="s">
        <v>164</v>
      </c>
      <c r="B348" s="99">
        <f ca="1">IF(INDIRECT(ADDRESS(ROW('3'!BU$27),COLUMN('3'!BU$6)+ROW(A9)+$B$795,1,1,"3"))="","",INDIRECT(ADDRESS(ROW('3'!BU$27),COLUMN('3'!BU$6)+ROW(A9)+$B$795,1,1,"3")))</f>
        <v>369593.38199999975</v>
      </c>
      <c r="C348" s="99">
        <f ca="1">IF(INDIRECT(ADDRESS(ROW('3'!BU$27),COLUMN('3'!BU$6)+ROW(A9)+$C$795,1,1,"3"))="","",INDIRECT(ADDRESS(ROW('3'!BU$27),COLUMN('3'!BU$6)+ROW(A9)+$C$795,1,1,"3")))</f>
        <v>413079.54783000005</v>
      </c>
      <c r="D348" s="99" t="str">
        <f ca="1">IF(INDIRECT(ADDRESS(ROW('3'!BU$27),COLUMN('3'!BU$6)+ROW(A9)+$D$795,1,1,"3"))="","",INDIRECT(ADDRESS(ROW('3'!BU$27),COLUMN('3'!BU$6)+ROW(A9)+$D$795,1,1,"3")))</f>
        <v/>
      </c>
      <c r="E348" s="99">
        <f ca="1">IF(INDIRECT(ADDRESS(ROW('3'!BU$28),COLUMN('3'!BU$6)+ROW(A9)+$B$795,1,1,"3"))="","",INDIRECT(ADDRESS(ROW('3'!BU$28),COLUMN('3'!BU$6)+ROW(A9)+$B$795,1,1,"3")))</f>
        <v>356707.81599999964</v>
      </c>
      <c r="F348" s="99">
        <f ca="1">IF(INDIRECT(ADDRESS(ROW('3'!BU$28),COLUMN('3'!BU$6)+ROW(A9)+$C$795,1,1,"3"))="","",INDIRECT(ADDRESS(ROW('3'!BU$28),COLUMN('3'!BU$6)+ROW(A9)+$C$795,1,1,"3")))</f>
        <v>396585.40723999962</v>
      </c>
      <c r="G348" s="99" t="str">
        <f ca="1">IF(INDIRECT(ADDRESS(ROW('3'!BU$28),COLUMN('3'!BU$6)+ROW(A9)+$D$795,1,1,"3"))="","",INDIRECT(ADDRESS(ROW('3'!BU$28),COLUMN('3'!BU$6)+ROW(A9)+$D$795,1,1,"3")))</f>
        <v/>
      </c>
      <c r="H348" s="99">
        <f t="shared" ca="1" si="45"/>
        <v>12885.566000000108</v>
      </c>
      <c r="I348" s="99">
        <f t="shared" ca="1" si="46"/>
        <v>16494.140590000432</v>
      </c>
      <c r="J348" s="99" t="str">
        <f t="shared" ca="1" si="47"/>
        <v/>
      </c>
    </row>
    <row r="349" spans="1:10">
      <c r="A349" s="97" t="s">
        <v>165</v>
      </c>
      <c r="B349" s="99">
        <f ca="1">IF(INDIRECT(ADDRESS(ROW('3'!BU$27),COLUMN('3'!BU$6)+ROW(A10)+$B$795,1,1,"3"))="","",INDIRECT(ADDRESS(ROW('3'!BU$27),COLUMN('3'!BU$6)+ROW(A10)+$B$795,1,1,"3")))</f>
        <v>394067.81799999997</v>
      </c>
      <c r="C349" s="99">
        <f ca="1">IF(INDIRECT(ADDRESS(ROW('3'!BU$27),COLUMN('3'!BU$6)+ROW(A10)+$C$795,1,1,"3"))="","",INDIRECT(ADDRESS(ROW('3'!BU$27),COLUMN('3'!BU$6)+ROW(A10)+$C$795,1,1,"3")))</f>
        <v>455650.55233999947</v>
      </c>
      <c r="D349" s="99" t="str">
        <f ca="1">IF(INDIRECT(ADDRESS(ROW('3'!BU$27),COLUMN('3'!BU$6)+ROW(A10)+$D$795,1,1,"3"))="","",INDIRECT(ADDRESS(ROW('3'!BU$27),COLUMN('3'!BU$6)+ROW(A10)+$D$795,1,1,"3")))</f>
        <v/>
      </c>
      <c r="E349" s="99">
        <f ca="1">IF(INDIRECT(ADDRESS(ROW('3'!BU$28),COLUMN('3'!BU$6)+ROW(A10)+$B$795,1,1,"3"))="","",INDIRECT(ADDRESS(ROW('3'!BU$28),COLUMN('3'!BU$6)+ROW(A10)+$B$795,1,1,"3")))</f>
        <v>376134.74200000009</v>
      </c>
      <c r="F349" s="99">
        <f ca="1">IF(INDIRECT(ADDRESS(ROW('3'!BU$28),COLUMN('3'!BU$6)+ROW(A10)+$C$795,1,1,"3"))="","",INDIRECT(ADDRESS(ROW('3'!BU$28),COLUMN('3'!BU$6)+ROW(A10)+$C$795,1,1,"3")))</f>
        <v>405006.33398000011</v>
      </c>
      <c r="G349" s="99" t="str">
        <f ca="1">IF(INDIRECT(ADDRESS(ROW('3'!BU$28),COLUMN('3'!BU$6)+ROW(A10)+$D$795,1,1,"3"))="","",INDIRECT(ADDRESS(ROW('3'!BU$28),COLUMN('3'!BU$6)+ROW(A10)+$D$795,1,1,"3")))</f>
        <v/>
      </c>
      <c r="H349" s="99">
        <f t="shared" ca="1" si="45"/>
        <v>17933.075999999885</v>
      </c>
      <c r="I349" s="99">
        <f t="shared" ca="1" si="46"/>
        <v>50644.218359999359</v>
      </c>
      <c r="J349" s="99" t="str">
        <f t="shared" ca="1" si="47"/>
        <v/>
      </c>
    </row>
    <row r="350" spans="1:10">
      <c r="A350" s="97" t="s">
        <v>166</v>
      </c>
      <c r="B350" s="99">
        <f ca="1">IF(INDIRECT(ADDRESS(ROW('3'!BU$27),COLUMN('3'!BU$6)+ROW(A11)+$B$795,1,1,"3"))="","",INDIRECT(ADDRESS(ROW('3'!BU$27),COLUMN('3'!BU$6)+ROW(A11)+$B$795,1,1,"3")))</f>
        <v>383293.73800000036</v>
      </c>
      <c r="C350" s="99">
        <f ca="1">IF(INDIRECT(ADDRESS(ROW('3'!BU$27),COLUMN('3'!BU$6)+ROW(A11)+$C$795,1,1,"3"))="","",INDIRECT(ADDRESS(ROW('3'!BU$27),COLUMN('3'!BU$6)+ROW(A11)+$C$795,1,1,"3")))</f>
        <v>429515.29582000058</v>
      </c>
      <c r="D350" s="99" t="str">
        <f ca="1">IF(INDIRECT(ADDRESS(ROW('3'!BU$27),COLUMN('3'!BU$6)+ROW(A11)+$D$795,1,1,"3"))="","",INDIRECT(ADDRESS(ROW('3'!BU$27),COLUMN('3'!BU$6)+ROW(A11)+$D$795,1,1,"3")))</f>
        <v/>
      </c>
      <c r="E350" s="99">
        <f ca="1">IF(INDIRECT(ADDRESS(ROW('3'!BU$28),COLUMN('3'!BU$6)+ROW(A11)+$B$795,1,1,"3"))="","",INDIRECT(ADDRESS(ROW('3'!BU$28),COLUMN('3'!BU$6)+ROW(A11)+$B$795,1,1,"3")))</f>
        <v>374059.55800000019</v>
      </c>
      <c r="F350" s="99">
        <f ca="1">IF(INDIRECT(ADDRESS(ROW('3'!BU$28),COLUMN('3'!BU$6)+ROW(A11)+$C$795,1,1,"3"))="","",INDIRECT(ADDRESS(ROW('3'!BU$28),COLUMN('3'!BU$6)+ROW(A11)+$C$795,1,1,"3")))</f>
        <v>401271.63919000002</v>
      </c>
      <c r="G350" s="99" t="str">
        <f ca="1">IF(INDIRECT(ADDRESS(ROW('3'!BU$28),COLUMN('3'!BU$6)+ROW(A11)+$D$795,1,1,"3"))="","",INDIRECT(ADDRESS(ROW('3'!BU$28),COLUMN('3'!BU$6)+ROW(A11)+$D$795,1,1,"3")))</f>
        <v/>
      </c>
      <c r="H350" s="99">
        <f t="shared" ca="1" si="45"/>
        <v>9234.1800000001676</v>
      </c>
      <c r="I350" s="99">
        <f t="shared" ca="1" si="46"/>
        <v>28243.656630000565</v>
      </c>
      <c r="J350" s="99" t="str">
        <f t="shared" ca="1" si="47"/>
        <v/>
      </c>
    </row>
    <row r="351" spans="1:10">
      <c r="A351" s="97" t="s">
        <v>167</v>
      </c>
      <c r="B351" s="99">
        <f ca="1">IF(INDIRECT(ADDRESS(ROW('3'!BU$27),COLUMN('3'!BU$6)+ROW(A12)+$B$795,1,1,"3"))="","",INDIRECT(ADDRESS(ROW('3'!BU$27),COLUMN('3'!BU$6)+ROW(A12)+$B$795,1,1,"3")))</f>
        <v>374702.53699999955</v>
      </c>
      <c r="C351" s="99">
        <f ca="1">IF(INDIRECT(ADDRESS(ROW('3'!BU$27),COLUMN('3'!BU$6)+ROW(A12)+$C$795,1,1,"3"))="","",INDIRECT(ADDRESS(ROW('3'!BU$27),COLUMN('3'!BU$6)+ROW(A12)+$C$795,1,1,"3")))</f>
        <v>463335.25663000066</v>
      </c>
      <c r="D351" s="99" t="str">
        <f ca="1">IF(INDIRECT(ADDRESS(ROW('3'!BU$27),COLUMN('3'!BU$6)+ROW(A12)+$D$795,1,1,"3"))="","",INDIRECT(ADDRESS(ROW('3'!BU$27),COLUMN('3'!BU$6)+ROW(A12)+$D$795,1,1,"3")))</f>
        <v/>
      </c>
      <c r="E351" s="99">
        <f ca="1">IF(INDIRECT(ADDRESS(ROW('3'!BU$28),COLUMN('3'!BU$6)+ROW(A12)+$B$795,1,1,"3"))="","",INDIRECT(ADDRESS(ROW('3'!BU$28),COLUMN('3'!BU$6)+ROW(A12)+$B$795,1,1,"3")))</f>
        <v>378466.3339999998</v>
      </c>
      <c r="F351" s="99">
        <f ca="1">IF(INDIRECT(ADDRESS(ROW('3'!BU$28),COLUMN('3'!BU$6)+ROW(A12)+$C$795,1,1,"3"))="","",INDIRECT(ADDRESS(ROW('3'!BU$28),COLUMN('3'!BU$6)+ROW(A12)+$C$795,1,1,"3")))</f>
        <v>461742.51104999986</v>
      </c>
      <c r="G351" s="99" t="str">
        <f ca="1">IF(INDIRECT(ADDRESS(ROW('3'!BU$28),COLUMN('3'!BU$6)+ROW(A12)+$D$795,1,1,"3"))="","",INDIRECT(ADDRESS(ROW('3'!BU$28),COLUMN('3'!BU$6)+ROW(A12)+$D$795,1,1,"3")))</f>
        <v/>
      </c>
      <c r="H351" s="99">
        <f t="shared" ca="1" si="45"/>
        <v>-3763.7970000002533</v>
      </c>
      <c r="I351" s="99">
        <f t="shared" ca="1" si="46"/>
        <v>1592.7455800008029</v>
      </c>
      <c r="J351" s="99" t="str">
        <f t="shared" ca="1" si="47"/>
        <v/>
      </c>
    </row>
    <row r="352" spans="1:10">
      <c r="A352" s="108" t="s">
        <v>168</v>
      </c>
      <c r="B352" s="99">
        <f t="shared" ref="B352:G352" ca="1" si="48">SUM(B340:B351)</f>
        <v>4649024.5209999997</v>
      </c>
      <c r="C352" s="99">
        <f t="shared" ca="1" si="48"/>
        <v>5189354.2416400006</v>
      </c>
      <c r="D352" s="99">
        <f t="shared" ca="1" si="48"/>
        <v>3239101.38075</v>
      </c>
      <c r="E352" s="99">
        <f t="shared" ca="1" si="48"/>
        <v>4311889.5619999999</v>
      </c>
      <c r="F352" s="99">
        <f t="shared" ca="1" si="48"/>
        <v>4714131.3570699999</v>
      </c>
      <c r="G352" s="99">
        <f t="shared" ca="1" si="48"/>
        <v>2878586.3199100001</v>
      </c>
      <c r="H352" s="108" t="s">
        <v>61</v>
      </c>
      <c r="I352" s="108" t="s">
        <v>61</v>
      </c>
      <c r="J352" s="108" t="s">
        <v>61</v>
      </c>
    </row>
    <row r="353" spans="1:10">
      <c r="A353" s="89"/>
      <c r="B353" s="89"/>
      <c r="C353" s="89"/>
      <c r="D353" s="89"/>
      <c r="E353" s="89"/>
      <c r="F353" s="89"/>
      <c r="G353" s="89"/>
      <c r="H353" s="89"/>
      <c r="I353" s="89"/>
      <c r="J353" s="89"/>
    </row>
    <row r="354" spans="1:10">
      <c r="A354" s="89"/>
      <c r="B354" s="89"/>
      <c r="C354" s="89"/>
      <c r="D354" s="89"/>
      <c r="E354" s="89"/>
      <c r="F354" s="89"/>
      <c r="G354" s="89"/>
      <c r="H354" s="89"/>
      <c r="I354" s="89"/>
      <c r="J354" s="89"/>
    </row>
    <row r="355" spans="1:10">
      <c r="A355" s="89"/>
      <c r="B355" s="89"/>
      <c r="C355" s="89"/>
      <c r="D355" s="89"/>
      <c r="E355" s="89"/>
      <c r="F355" s="89"/>
      <c r="G355" s="89"/>
      <c r="H355" s="89"/>
      <c r="I355" s="89"/>
      <c r="J355" s="89"/>
    </row>
    <row r="356" spans="1:10">
      <c r="A356" s="89"/>
      <c r="B356" s="89"/>
      <c r="C356" s="89"/>
      <c r="D356" s="89"/>
      <c r="E356" s="89"/>
      <c r="F356" s="89"/>
      <c r="G356" s="89"/>
      <c r="H356" s="89"/>
      <c r="I356" s="89"/>
      <c r="J356" s="89"/>
    </row>
    <row r="357" spans="1:10">
      <c r="A357" s="89"/>
      <c r="B357" s="89"/>
      <c r="C357" s="89"/>
      <c r="D357" s="89"/>
      <c r="E357" s="89"/>
      <c r="F357" s="89"/>
      <c r="G357" s="89"/>
      <c r="H357" s="89"/>
      <c r="I357" s="89"/>
      <c r="J357" s="89"/>
    </row>
    <row r="358" spans="1:10">
      <c r="A358" s="89"/>
      <c r="B358" s="89"/>
      <c r="C358" s="89"/>
      <c r="D358" s="89"/>
      <c r="E358" s="89"/>
      <c r="F358" s="89"/>
      <c r="G358" s="89"/>
      <c r="H358" s="89"/>
      <c r="I358" s="89"/>
      <c r="J358" s="89"/>
    </row>
    <row r="359" spans="1:10">
      <c r="A359" s="89"/>
      <c r="B359" s="89"/>
      <c r="C359" s="89"/>
      <c r="D359" s="89"/>
      <c r="E359" s="89"/>
      <c r="F359" s="89"/>
      <c r="G359" s="89"/>
      <c r="H359" s="89"/>
      <c r="I359" s="89"/>
      <c r="J359" s="89"/>
    </row>
    <row r="360" spans="1:10">
      <c r="A360" s="89"/>
      <c r="B360" s="89"/>
      <c r="C360" s="89"/>
      <c r="D360" s="89"/>
      <c r="E360" s="89"/>
      <c r="F360" s="89"/>
      <c r="G360" s="89"/>
      <c r="H360" s="89"/>
      <c r="I360" s="89"/>
      <c r="J360" s="89"/>
    </row>
    <row r="361" spans="1:10">
      <c r="A361" s="89"/>
      <c r="B361" s="89"/>
      <c r="C361" s="89"/>
      <c r="D361" s="89"/>
      <c r="E361" s="89"/>
      <c r="F361" s="89"/>
      <c r="G361" s="89"/>
      <c r="H361" s="89"/>
      <c r="I361" s="89"/>
      <c r="J361" s="89"/>
    </row>
    <row r="362" spans="1:10">
      <c r="A362" s="89"/>
      <c r="B362" s="89"/>
      <c r="C362" s="89"/>
      <c r="D362" s="89"/>
      <c r="E362" s="89"/>
      <c r="F362" s="89"/>
      <c r="G362" s="89"/>
      <c r="H362" s="89"/>
      <c r="I362" s="89"/>
      <c r="J362" s="89"/>
    </row>
    <row r="363" spans="1:10">
      <c r="A363" s="89"/>
      <c r="B363" s="89"/>
      <c r="C363" s="89"/>
      <c r="D363" s="89"/>
      <c r="E363" s="89"/>
      <c r="F363" s="89"/>
      <c r="G363" s="89"/>
      <c r="H363" s="89"/>
      <c r="I363" s="89"/>
      <c r="J363" s="89"/>
    </row>
    <row r="364" spans="1:10">
      <c r="A364" s="89"/>
      <c r="B364" s="89"/>
      <c r="C364" s="89"/>
      <c r="D364" s="89"/>
      <c r="E364" s="89"/>
      <c r="F364" s="89"/>
      <c r="G364" s="89"/>
      <c r="H364" s="89"/>
      <c r="I364" s="89"/>
      <c r="J364" s="89"/>
    </row>
    <row r="365" spans="1:10">
      <c r="A365" s="89"/>
      <c r="B365" s="89"/>
      <c r="C365" s="89"/>
      <c r="D365" s="89"/>
      <c r="E365" s="89"/>
      <c r="F365" s="89"/>
      <c r="G365" s="89"/>
      <c r="H365" s="89"/>
      <c r="I365" s="89"/>
      <c r="J365" s="89"/>
    </row>
    <row r="366" spans="1:10">
      <c r="A366" s="89"/>
      <c r="B366" s="89"/>
      <c r="C366" s="89"/>
      <c r="D366" s="89"/>
      <c r="E366" s="89"/>
      <c r="F366" s="89"/>
      <c r="G366" s="89"/>
      <c r="H366" s="89"/>
      <c r="I366" s="89"/>
      <c r="J366" s="89"/>
    </row>
    <row r="367" spans="1:10">
      <c r="A367" s="89"/>
      <c r="B367" s="89"/>
      <c r="C367" s="89"/>
      <c r="D367" s="89"/>
      <c r="E367" s="89"/>
      <c r="F367" s="89"/>
      <c r="G367" s="89"/>
      <c r="H367" s="89"/>
      <c r="I367" s="89"/>
      <c r="J367" s="89"/>
    </row>
    <row r="368" spans="1:10">
      <c r="A368" s="89"/>
      <c r="B368" s="89"/>
      <c r="C368" s="89"/>
      <c r="D368" s="89"/>
      <c r="E368" s="89"/>
      <c r="F368" s="89"/>
      <c r="G368" s="89"/>
      <c r="H368" s="89"/>
      <c r="I368" s="89"/>
      <c r="J368" s="89"/>
    </row>
    <row r="369" spans="1:10">
      <c r="A369" s="89"/>
      <c r="B369" s="89"/>
      <c r="C369" s="89"/>
      <c r="D369" s="89"/>
      <c r="E369" s="89"/>
      <c r="F369" s="89"/>
      <c r="G369" s="89"/>
      <c r="H369" s="89"/>
      <c r="I369" s="89"/>
      <c r="J369" s="89"/>
    </row>
    <row r="370" spans="1:10">
      <c r="A370" s="89"/>
      <c r="B370" s="89"/>
      <c r="C370" s="89"/>
      <c r="D370" s="89"/>
      <c r="E370" s="89"/>
      <c r="F370" s="89"/>
      <c r="G370" s="89"/>
      <c r="H370" s="89"/>
      <c r="I370" s="89"/>
      <c r="J370" s="89"/>
    </row>
    <row r="371" spans="1:10">
      <c r="A371" s="89"/>
      <c r="B371" s="89"/>
      <c r="C371" s="89"/>
      <c r="D371" s="89"/>
      <c r="E371" s="89"/>
      <c r="F371" s="89"/>
      <c r="G371" s="89"/>
      <c r="H371" s="89"/>
      <c r="I371" s="89"/>
      <c r="J371" s="89"/>
    </row>
    <row r="372" spans="1:10">
      <c r="A372" s="89"/>
      <c r="B372" s="89"/>
      <c r="C372" s="89"/>
      <c r="D372" s="89"/>
      <c r="E372" s="89"/>
      <c r="F372" s="89"/>
      <c r="G372" s="89"/>
      <c r="H372" s="89"/>
      <c r="I372" s="89"/>
      <c r="J372" s="89"/>
    </row>
    <row r="373" spans="1:10">
      <c r="A373" s="89"/>
      <c r="B373" s="89"/>
      <c r="C373" s="89"/>
      <c r="D373" s="89"/>
      <c r="E373" s="89"/>
      <c r="F373" s="89"/>
      <c r="G373" s="89"/>
      <c r="H373" s="89"/>
      <c r="I373" s="89"/>
      <c r="J373" s="89"/>
    </row>
    <row r="374" spans="1:10">
      <c r="A374" s="89"/>
      <c r="B374" s="89"/>
      <c r="C374" s="89"/>
      <c r="D374" s="89"/>
      <c r="E374" s="89"/>
      <c r="F374" s="89"/>
      <c r="G374" s="89"/>
      <c r="H374" s="89"/>
      <c r="I374" s="89"/>
      <c r="J374" s="89"/>
    </row>
    <row r="375" spans="1:10">
      <c r="A375" s="89"/>
      <c r="B375" s="89"/>
      <c r="C375" s="89"/>
      <c r="D375" s="89"/>
      <c r="E375" s="89"/>
      <c r="F375" s="89"/>
      <c r="G375" s="89"/>
      <c r="H375" s="89"/>
      <c r="I375" s="89"/>
      <c r="J375" s="89"/>
    </row>
    <row r="376" spans="1:10">
      <c r="A376" s="89"/>
      <c r="B376" s="89"/>
      <c r="C376" s="89"/>
      <c r="D376" s="89"/>
      <c r="E376" s="89"/>
      <c r="F376" s="89"/>
      <c r="G376" s="89"/>
      <c r="H376" s="89"/>
      <c r="I376" s="89"/>
      <c r="J376" s="89"/>
    </row>
    <row r="377" spans="1:10">
      <c r="A377" s="89"/>
      <c r="B377" s="89"/>
      <c r="C377" s="89"/>
      <c r="D377" s="89"/>
      <c r="E377" s="89"/>
      <c r="F377" s="89"/>
      <c r="G377" s="89"/>
      <c r="H377" s="89"/>
      <c r="I377" s="89"/>
      <c r="J377" s="89"/>
    </row>
    <row r="378" spans="1:10">
      <c r="A378" s="89"/>
      <c r="B378" s="89"/>
      <c r="C378" s="89"/>
      <c r="D378" s="89"/>
      <c r="E378" s="89"/>
      <c r="F378" s="89"/>
      <c r="G378" s="89"/>
      <c r="H378" s="89"/>
      <c r="I378" s="89"/>
      <c r="J378" s="89"/>
    </row>
    <row r="379" spans="1:10">
      <c r="A379" s="89"/>
      <c r="B379" s="89"/>
      <c r="C379" s="89"/>
      <c r="D379" s="89"/>
      <c r="E379" s="89"/>
      <c r="F379" s="89"/>
      <c r="G379" s="89"/>
      <c r="H379" s="89"/>
      <c r="I379" s="89"/>
      <c r="J379" s="89"/>
    </row>
    <row r="380" spans="1:10">
      <c r="A380" s="89"/>
      <c r="B380" s="89"/>
      <c r="C380" s="89"/>
      <c r="D380" s="89"/>
      <c r="E380" s="89"/>
      <c r="F380" s="89"/>
      <c r="G380" s="89"/>
      <c r="H380" s="89"/>
      <c r="I380" s="89"/>
      <c r="J380" s="89"/>
    </row>
    <row r="381" spans="1:10">
      <c r="A381" s="89"/>
      <c r="B381" s="89"/>
      <c r="C381" s="89"/>
      <c r="D381" s="89"/>
      <c r="E381" s="89"/>
      <c r="F381" s="89"/>
      <c r="G381" s="89"/>
      <c r="H381" s="89"/>
      <c r="I381" s="89"/>
      <c r="J381" s="89"/>
    </row>
    <row r="382" spans="1:10">
      <c r="A382" s="89"/>
      <c r="B382" s="89"/>
      <c r="C382" s="89"/>
      <c r="D382" s="89"/>
      <c r="E382" s="89"/>
      <c r="F382" s="89"/>
      <c r="G382" s="89"/>
      <c r="H382" s="89"/>
      <c r="I382" s="89"/>
      <c r="J382" s="89"/>
    </row>
    <row r="383" spans="1:10">
      <c r="A383" s="89"/>
      <c r="B383" s="89"/>
      <c r="C383" s="89"/>
      <c r="D383" s="89"/>
      <c r="E383" s="89"/>
      <c r="F383" s="89"/>
      <c r="G383" s="89"/>
      <c r="H383" s="89"/>
      <c r="I383" s="89"/>
      <c r="J383" s="89"/>
    </row>
    <row r="384" spans="1:10">
      <c r="A384" s="89"/>
      <c r="B384" s="89"/>
      <c r="C384" s="89"/>
      <c r="D384" s="89"/>
      <c r="E384" s="89"/>
      <c r="F384" s="89"/>
      <c r="G384" s="89"/>
      <c r="H384" s="89"/>
      <c r="I384" s="89"/>
      <c r="J384" s="89"/>
    </row>
    <row r="385" spans="1:13">
      <c r="A385" s="89"/>
      <c r="B385" s="89"/>
      <c r="C385" s="89"/>
      <c r="D385" s="89"/>
      <c r="E385" s="89"/>
      <c r="F385" s="89"/>
      <c r="G385" s="89"/>
      <c r="H385" s="89"/>
      <c r="I385" s="89"/>
      <c r="J385" s="89"/>
    </row>
    <row r="386" spans="1:13">
      <c r="A386" s="89"/>
      <c r="B386" s="89"/>
      <c r="C386" s="89"/>
      <c r="D386" s="89"/>
      <c r="E386" s="89"/>
      <c r="F386" s="89"/>
      <c r="G386" s="89"/>
      <c r="H386" s="89"/>
      <c r="I386" s="89"/>
      <c r="J386" s="89"/>
    </row>
    <row r="387" spans="1:13">
      <c r="A387" s="89"/>
      <c r="B387" s="89"/>
      <c r="C387" s="89"/>
      <c r="D387" s="89"/>
      <c r="E387" s="89"/>
      <c r="F387" s="89"/>
      <c r="G387" s="89"/>
      <c r="H387" s="89"/>
      <c r="I387" s="89"/>
      <c r="J387" s="89"/>
    </row>
    <row r="388" spans="1:13">
      <c r="A388" s="89"/>
      <c r="B388" s="89"/>
      <c r="C388" s="89"/>
      <c r="D388" s="89"/>
      <c r="E388" s="89"/>
      <c r="F388" s="89"/>
      <c r="G388" s="89"/>
      <c r="H388" s="89"/>
      <c r="I388" s="89"/>
      <c r="J388" s="89"/>
    </row>
    <row r="389" spans="1:13">
      <c r="A389" s="89"/>
      <c r="B389" s="89"/>
      <c r="C389" s="89"/>
      <c r="D389" s="89"/>
      <c r="E389" s="89"/>
      <c r="F389" s="89"/>
      <c r="G389" s="89"/>
      <c r="H389" s="89"/>
      <c r="I389" s="89"/>
      <c r="J389" s="89"/>
    </row>
    <row r="390" spans="1:13">
      <c r="A390" s="89"/>
      <c r="B390" s="89"/>
      <c r="C390" s="89"/>
      <c r="D390" s="89"/>
      <c r="E390" s="89"/>
      <c r="F390" s="89"/>
      <c r="G390" s="89"/>
      <c r="H390" s="89"/>
      <c r="I390" s="89"/>
      <c r="J390" s="89"/>
    </row>
    <row r="391" spans="1:13">
      <c r="A391" s="89"/>
      <c r="B391" s="89"/>
      <c r="C391" s="89"/>
      <c r="D391" s="89"/>
      <c r="E391" s="89"/>
      <c r="F391" s="89"/>
      <c r="G391" s="89"/>
      <c r="H391" s="89"/>
      <c r="I391" s="89"/>
      <c r="J391" s="89"/>
    </row>
    <row r="392" spans="1:13">
      <c r="A392" s="89"/>
      <c r="B392" s="89"/>
      <c r="C392" s="89"/>
      <c r="D392" s="89"/>
      <c r="E392" s="89"/>
      <c r="F392" s="89"/>
      <c r="G392" s="89"/>
      <c r="H392" s="89"/>
      <c r="I392" s="89"/>
      <c r="J392" s="89"/>
    </row>
    <row r="393" spans="1:13">
      <c r="A393" s="89"/>
      <c r="B393" s="89"/>
      <c r="C393" s="89"/>
      <c r="D393" s="89"/>
      <c r="E393" s="89"/>
      <c r="F393" s="89"/>
      <c r="G393" s="89"/>
      <c r="H393" s="89"/>
      <c r="I393" s="89"/>
      <c r="J393" s="89"/>
    </row>
    <row r="394" spans="1:13">
      <c r="A394" s="89"/>
      <c r="B394" s="89"/>
      <c r="C394" s="89"/>
      <c r="D394" s="89"/>
      <c r="E394" s="89"/>
      <c r="F394" s="89"/>
      <c r="G394" s="89"/>
      <c r="H394" s="89"/>
      <c r="I394" s="89"/>
      <c r="J394" s="89"/>
    </row>
    <row r="395" spans="1:13">
      <c r="A395" s="89"/>
      <c r="B395" s="89"/>
      <c r="C395" s="89"/>
      <c r="D395" s="89"/>
      <c r="E395" s="89"/>
      <c r="F395" s="89"/>
      <c r="G395" s="89"/>
      <c r="H395" s="89"/>
      <c r="I395" s="89"/>
      <c r="J395" s="89"/>
    </row>
    <row r="396" spans="1:13">
      <c r="A396" s="89"/>
      <c r="B396" s="89"/>
      <c r="C396" s="89"/>
      <c r="D396" s="89"/>
      <c r="E396" s="89"/>
      <c r="F396" s="89"/>
      <c r="G396" s="89"/>
      <c r="H396" s="89"/>
      <c r="I396" s="89"/>
      <c r="J396" s="89"/>
    </row>
    <row r="397" spans="1:13">
      <c r="A397" s="109"/>
      <c r="B397" s="109"/>
      <c r="C397" s="109"/>
      <c r="D397" s="109"/>
      <c r="E397" s="109"/>
      <c r="F397" s="109"/>
      <c r="G397" s="109"/>
      <c r="H397" s="109"/>
      <c r="I397" s="109"/>
      <c r="J397" s="109"/>
      <c r="K397" s="47"/>
      <c r="L397" s="72"/>
      <c r="M397" s="72"/>
    </row>
    <row r="398" spans="1:13">
      <c r="A398" s="89"/>
      <c r="B398" s="89"/>
      <c r="C398" s="89"/>
      <c r="D398" s="89"/>
      <c r="E398" s="89"/>
      <c r="F398" s="89"/>
      <c r="G398" s="89"/>
      <c r="H398" s="89"/>
      <c r="I398" s="89"/>
      <c r="J398" s="89"/>
    </row>
    <row r="399" spans="1:13">
      <c r="A399" s="89"/>
      <c r="B399" s="89"/>
      <c r="C399" s="89"/>
      <c r="D399" s="89"/>
      <c r="E399" s="89"/>
      <c r="F399" s="89"/>
      <c r="G399" s="89"/>
      <c r="H399" s="89"/>
      <c r="I399" s="89"/>
      <c r="J399" s="89"/>
    </row>
    <row r="400" spans="1:13">
      <c r="A400" s="89"/>
      <c r="B400" s="89"/>
      <c r="C400" s="89"/>
      <c r="D400" s="89"/>
      <c r="E400" s="89"/>
      <c r="F400" s="89"/>
      <c r="G400" s="89"/>
      <c r="H400" s="89"/>
      <c r="I400" s="89"/>
      <c r="J400" s="89"/>
    </row>
    <row r="401" spans="1:45">
      <c r="A401" s="89"/>
      <c r="B401" s="89"/>
      <c r="C401" s="89"/>
      <c r="D401" s="89"/>
      <c r="E401" s="89"/>
      <c r="F401" s="89"/>
      <c r="G401" s="89"/>
      <c r="H401" s="89"/>
      <c r="I401" s="89"/>
      <c r="J401" s="89"/>
    </row>
    <row r="402" spans="1:45">
      <c r="A402" s="89"/>
      <c r="B402" s="89"/>
      <c r="C402" s="89"/>
      <c r="D402" s="89"/>
      <c r="E402" s="89"/>
      <c r="F402" s="89"/>
      <c r="G402" s="89"/>
      <c r="H402" s="89"/>
      <c r="I402" s="89"/>
      <c r="J402" s="89"/>
    </row>
    <row r="403" spans="1:45">
      <c r="A403" s="89"/>
      <c r="B403" s="89"/>
      <c r="C403" s="89"/>
      <c r="D403" s="89"/>
      <c r="E403" s="89"/>
      <c r="F403" s="89"/>
      <c r="G403" s="89"/>
      <c r="H403" s="89"/>
      <c r="I403" s="89"/>
      <c r="J403" s="89"/>
    </row>
    <row r="404" spans="1:45">
      <c r="A404" s="89"/>
      <c r="B404" s="89"/>
      <c r="C404" s="89"/>
      <c r="D404" s="89"/>
      <c r="E404" s="89"/>
      <c r="F404" s="89"/>
      <c r="G404" s="89"/>
      <c r="H404" s="89"/>
      <c r="I404" s="89"/>
      <c r="J404" s="89"/>
    </row>
    <row r="405" spans="1:45">
      <c r="A405" s="89"/>
      <c r="B405" s="89"/>
      <c r="C405" s="89"/>
      <c r="D405" s="89"/>
      <c r="E405" s="89"/>
      <c r="F405" s="89"/>
      <c r="G405" s="89"/>
      <c r="H405" s="89"/>
      <c r="I405" s="89"/>
      <c r="J405" s="89"/>
    </row>
    <row r="406" spans="1:45">
      <c r="A406" s="89"/>
      <c r="B406" s="89"/>
      <c r="C406" s="89"/>
      <c r="D406" s="89"/>
      <c r="E406" s="89"/>
      <c r="F406" s="89"/>
      <c r="G406" s="89"/>
      <c r="H406" s="89"/>
      <c r="I406" s="89"/>
      <c r="J406" s="89"/>
    </row>
    <row r="407" spans="1:45">
      <c r="A407" s="89"/>
      <c r="B407" s="89"/>
      <c r="C407" s="89"/>
      <c r="D407" s="89"/>
      <c r="E407" s="89"/>
      <c r="F407" s="89"/>
      <c r="G407" s="89"/>
      <c r="H407" s="89"/>
      <c r="I407" s="89"/>
      <c r="J407" s="89"/>
    </row>
    <row r="408" spans="1:45" ht="15" hidden="1" customHeight="1">
      <c r="A408" s="404" t="s">
        <v>64</v>
      </c>
      <c r="B408" s="405"/>
      <c r="C408" s="405"/>
      <c r="D408" s="405"/>
      <c r="E408" s="405"/>
      <c r="F408" s="405"/>
      <c r="G408" s="405"/>
      <c r="H408" s="405"/>
      <c r="I408" s="405"/>
      <c r="J408" s="406"/>
    </row>
    <row r="409" spans="1:45" hidden="1">
      <c r="A409" s="90" t="s">
        <v>30</v>
      </c>
      <c r="B409" s="407" t="s">
        <v>56</v>
      </c>
      <c r="C409" s="409"/>
      <c r="D409" s="408"/>
      <c r="E409" s="407" t="s">
        <v>57</v>
      </c>
      <c r="F409" s="409"/>
      <c r="G409" s="408"/>
      <c r="H409" s="407" t="s">
        <v>58</v>
      </c>
      <c r="I409" s="409"/>
      <c r="J409" s="408"/>
    </row>
    <row r="410" spans="1:45" hidden="1">
      <c r="A410" s="92">
        <v>1</v>
      </c>
      <c r="B410" s="93">
        <v>2</v>
      </c>
      <c r="C410" s="93">
        <v>3</v>
      </c>
      <c r="D410" s="93">
        <v>4</v>
      </c>
      <c r="E410" s="93">
        <v>5</v>
      </c>
      <c r="F410" s="93">
        <v>6</v>
      </c>
      <c r="G410" s="93">
        <v>7</v>
      </c>
      <c r="H410" s="106" t="s">
        <v>70</v>
      </c>
      <c r="I410" s="106" t="s">
        <v>71</v>
      </c>
      <c r="J410" s="106" t="s">
        <v>72</v>
      </c>
      <c r="AM410" s="27"/>
      <c r="AN410" s="27"/>
      <c r="AO410" s="27"/>
      <c r="AP410" s="27"/>
      <c r="AQ410" s="27"/>
      <c r="AR410" s="27"/>
      <c r="AS410" s="27"/>
    </row>
    <row r="411" spans="1:45" hidden="1">
      <c r="A411" s="94"/>
      <c r="B411" s="93" t="s">
        <v>62</v>
      </c>
      <c r="C411" s="93" t="s">
        <v>51</v>
      </c>
      <c r="D411" s="93" t="s">
        <v>31</v>
      </c>
      <c r="E411" s="93" t="s">
        <v>62</v>
      </c>
      <c r="F411" s="93" t="s">
        <v>51</v>
      </c>
      <c r="G411" s="93" t="s">
        <v>31</v>
      </c>
      <c r="H411" s="93" t="s">
        <v>62</v>
      </c>
      <c r="I411" s="93" t="s">
        <v>51</v>
      </c>
      <c r="J411" s="93" t="s">
        <v>31</v>
      </c>
      <c r="AM411" s="27"/>
      <c r="AN411" s="27"/>
      <c r="AO411" s="27"/>
      <c r="AP411" s="27"/>
      <c r="AQ411" s="27"/>
      <c r="AR411" s="27"/>
      <c r="AS411" s="27"/>
    </row>
    <row r="412" spans="1:45" hidden="1">
      <c r="A412" s="95"/>
      <c r="B412" s="107">
        <v>2024</v>
      </c>
      <c r="C412" s="107">
        <v>2025</v>
      </c>
      <c r="D412" s="107">
        <v>2026</v>
      </c>
      <c r="E412" s="107">
        <v>2024</v>
      </c>
      <c r="F412" s="107">
        <v>2025</v>
      </c>
      <c r="G412" s="107">
        <v>2026</v>
      </c>
      <c r="H412" s="107">
        <v>2024</v>
      </c>
      <c r="I412" s="107">
        <v>2025</v>
      </c>
      <c r="J412" s="107">
        <v>2026</v>
      </c>
      <c r="M412" s="70" t="s">
        <v>78</v>
      </c>
      <c r="N412" s="201" t="str">
        <f t="shared" ref="N412:N424" si="49">C779</f>
        <v>2020 fakts</v>
      </c>
      <c r="O412" s="201" t="str">
        <f t="shared" ref="O412:O424" si="50">D779</f>
        <v>2021 fakts</v>
      </c>
      <c r="P412" s="201" t="str">
        <f t="shared" ref="P412:P424" si="51">E779</f>
        <v>2021 fakts</v>
      </c>
      <c r="Q412" s="201" t="str">
        <f t="shared" ref="Q412:Q424" si="52">F779</f>
        <v>2022 plāns</v>
      </c>
      <c r="R412" s="201" t="str">
        <f t="shared" ref="R412:R424" si="53">G779</f>
        <v>2022 fakts</v>
      </c>
      <c r="S412" s="201" t="str">
        <f t="shared" ref="S412:S424" si="54">H779</f>
        <v>2023 plāns</v>
      </c>
      <c r="T412" s="201" t="str">
        <f t="shared" ref="T412:W424" si="55">I779</f>
        <v>2023 fakts</v>
      </c>
      <c r="U412" s="201" t="str">
        <f t="shared" si="55"/>
        <v>2024 fakts</v>
      </c>
      <c r="V412" s="201" t="str">
        <f t="shared" si="55"/>
        <v>2025 fakts</v>
      </c>
      <c r="W412" s="201" t="str">
        <f t="shared" si="55"/>
        <v>2026 prognoze</v>
      </c>
      <c r="AM412" s="27"/>
      <c r="AN412" s="27"/>
      <c r="AO412" s="27"/>
      <c r="AP412" s="27"/>
      <c r="AQ412" s="27"/>
      <c r="AR412" s="27"/>
      <c r="AS412" s="27"/>
    </row>
    <row r="413" spans="1:45" hidden="1">
      <c r="A413" s="97" t="s">
        <v>156</v>
      </c>
      <c r="B413" s="98">
        <f ca="1">IFERROR(B340/U413*100,"")</f>
        <v>1.0304949400425334</v>
      </c>
      <c r="C413" s="98">
        <f ca="1">IFERROR(C340/V413*100,"")</f>
        <v>1.0872805228861768</v>
      </c>
      <c r="D413" s="98">
        <f ca="1">IFERROR(D340/W413*100,"")</f>
        <v>1.1190807884268168</v>
      </c>
      <c r="E413" s="98">
        <f ca="1">IFERROR(E340/U413*100,"")</f>
        <v>0.94479886977170657</v>
      </c>
      <c r="F413" s="98">
        <f ca="1">IFERROR(F340/V413*100,"")</f>
        <v>0.89494168877142055</v>
      </c>
      <c r="G413" s="98">
        <f ca="1">IFERROR(G340/W413*100,"")</f>
        <v>0.79798060339162191</v>
      </c>
      <c r="H413" s="98">
        <f ca="1">IFERROR(B413-E413,"")</f>
        <v>8.5696070270826818E-2</v>
      </c>
      <c r="I413" s="98">
        <f ca="1">IFERROR(C413-F413,"")</f>
        <v>0.19233883411475627</v>
      </c>
      <c r="J413" s="98">
        <f ca="1">IFERROR(D413-G413,"")</f>
        <v>0.32110018503519488</v>
      </c>
      <c r="M413" s="200" t="s">
        <v>156</v>
      </c>
      <c r="N413" s="71">
        <f t="shared" si="49"/>
        <v>29224340</v>
      </c>
      <c r="O413" s="71">
        <f t="shared" si="50"/>
        <v>32283779</v>
      </c>
      <c r="P413" s="71">
        <f t="shared" si="51"/>
        <v>32283779</v>
      </c>
      <c r="Q413" s="71">
        <f t="shared" si="52"/>
        <v>36103656</v>
      </c>
      <c r="R413" s="71">
        <f t="shared" si="53"/>
        <v>36088740</v>
      </c>
      <c r="S413" s="71">
        <f t="shared" si="54"/>
        <v>39072483</v>
      </c>
      <c r="T413" s="71">
        <f t="shared" si="55"/>
        <v>39564221</v>
      </c>
      <c r="U413" s="71">
        <f t="shared" si="55"/>
        <v>40652318</v>
      </c>
      <c r="V413" s="71">
        <f t="shared" si="55"/>
        <v>43026190</v>
      </c>
      <c r="W413" s="71">
        <f t="shared" si="55"/>
        <v>45538272.107807383</v>
      </c>
      <c r="AM413" s="27"/>
      <c r="AN413" s="27"/>
      <c r="AO413" s="27"/>
      <c r="AP413" s="27"/>
      <c r="AQ413" s="27"/>
      <c r="AR413" s="27"/>
      <c r="AS413" s="27"/>
    </row>
    <row r="414" spans="1:45" hidden="1">
      <c r="A414" s="97" t="s">
        <v>157</v>
      </c>
      <c r="B414" s="98">
        <f t="shared" ref="B414:B424" ca="1" si="56">IFERROR(B341/U414*100,"")</f>
        <v>0.92373489993854729</v>
      </c>
      <c r="C414" s="98">
        <f t="shared" ref="C414:C424" ca="1" si="57">IFERROR(C341/V414*100,"")</f>
        <v>0.88505377977924604</v>
      </c>
      <c r="D414" s="98">
        <f t="shared" ref="D414:D424" ca="1" si="58">IFERROR(D341/W414*100,"")</f>
        <v>0.91729125718932047</v>
      </c>
      <c r="E414" s="98">
        <f t="shared" ref="E414:E424" ca="1" si="59">IFERROR(E341/U414*100,"")</f>
        <v>0.87297277857562761</v>
      </c>
      <c r="F414" s="98">
        <f t="shared" ref="F414:F424" ca="1" si="60">IFERROR(F341/V414*100,"")</f>
        <v>0.88856676059395412</v>
      </c>
      <c r="G414" s="98">
        <f t="shared" ref="G414:G424" ca="1" si="61">IFERROR(G341/W414*100,"")</f>
        <v>0.91190726977276726</v>
      </c>
      <c r="H414" s="98">
        <f t="shared" ref="H414:H424" ca="1" si="62">IFERROR(B414-E414,"")</f>
        <v>5.0762121362919688E-2</v>
      </c>
      <c r="I414" s="98">
        <f t="shared" ref="I414:I424" ca="1" si="63">IFERROR(C414-F414,"")</f>
        <v>-3.5129808147080777E-3</v>
      </c>
      <c r="J414" s="98">
        <f t="shared" ref="J414:J424" ca="1" si="64">IFERROR(D414-G414,"")</f>
        <v>5.3839874165532153E-3</v>
      </c>
      <c r="M414" s="200" t="s">
        <v>157</v>
      </c>
      <c r="N414" s="71">
        <f t="shared" si="49"/>
        <v>29224340</v>
      </c>
      <c r="O414" s="71">
        <f t="shared" si="50"/>
        <v>32283779</v>
      </c>
      <c r="P414" s="71">
        <f t="shared" si="51"/>
        <v>32283779</v>
      </c>
      <c r="Q414" s="71">
        <f t="shared" si="52"/>
        <v>36103656</v>
      </c>
      <c r="R414" s="71">
        <f t="shared" si="53"/>
        <v>36088740</v>
      </c>
      <c r="S414" s="71">
        <f t="shared" si="54"/>
        <v>39072483</v>
      </c>
      <c r="T414" s="71">
        <f t="shared" si="55"/>
        <v>39564221</v>
      </c>
      <c r="U414" s="71">
        <f t="shared" si="55"/>
        <v>40652318</v>
      </c>
      <c r="V414" s="71">
        <f t="shared" si="55"/>
        <v>43026190</v>
      </c>
      <c r="W414" s="71">
        <f t="shared" si="55"/>
        <v>45538272.107807383</v>
      </c>
      <c r="AM414" s="27"/>
      <c r="AN414" s="27"/>
      <c r="AO414" s="27"/>
      <c r="AP414" s="27"/>
      <c r="AQ414" s="27"/>
      <c r="AR414" s="27"/>
      <c r="AS414" s="27"/>
    </row>
    <row r="415" spans="1:45" hidden="1">
      <c r="A415" s="97" t="s">
        <v>158</v>
      </c>
      <c r="B415" s="98">
        <f t="shared" ca="1" si="56"/>
        <v>0.87302287903976361</v>
      </c>
      <c r="C415" s="98">
        <f t="shared" ca="1" si="57"/>
        <v>0.92807444979441567</v>
      </c>
      <c r="D415" s="98">
        <f t="shared" ca="1" si="58"/>
        <v>0.93765164995532146</v>
      </c>
      <c r="E415" s="98">
        <f t="shared" ca="1" si="59"/>
        <v>0.80469383320281995</v>
      </c>
      <c r="F415" s="98">
        <f t="shared" ca="1" si="60"/>
        <v>0.88782045979437196</v>
      </c>
      <c r="G415" s="98">
        <f t="shared" ca="1" si="61"/>
        <v>0.94293622804450128</v>
      </c>
      <c r="H415" s="98">
        <f t="shared" ca="1" si="62"/>
        <v>6.8329045836943658E-2</v>
      </c>
      <c r="I415" s="98">
        <f t="shared" ca="1" si="63"/>
        <v>4.0253990000043705E-2</v>
      </c>
      <c r="J415" s="98">
        <f t="shared" ca="1" si="64"/>
        <v>-5.2845780891798144E-3</v>
      </c>
      <c r="M415" s="200" t="s">
        <v>158</v>
      </c>
      <c r="N415" s="71">
        <f t="shared" si="49"/>
        <v>29224340</v>
      </c>
      <c r="O415" s="71">
        <f t="shared" si="50"/>
        <v>32283779</v>
      </c>
      <c r="P415" s="71">
        <f t="shared" si="51"/>
        <v>32283779</v>
      </c>
      <c r="Q415" s="71">
        <f t="shared" si="52"/>
        <v>36103656</v>
      </c>
      <c r="R415" s="71">
        <f t="shared" si="53"/>
        <v>36088740</v>
      </c>
      <c r="S415" s="71">
        <f t="shared" si="54"/>
        <v>39072483</v>
      </c>
      <c r="T415" s="71">
        <f t="shared" si="55"/>
        <v>39564221</v>
      </c>
      <c r="U415" s="71">
        <f t="shared" si="55"/>
        <v>40652318</v>
      </c>
      <c r="V415" s="71">
        <f t="shared" si="55"/>
        <v>43026190</v>
      </c>
      <c r="W415" s="71">
        <f t="shared" si="55"/>
        <v>45538272.107807383</v>
      </c>
      <c r="AM415" s="27"/>
      <c r="AN415" s="27"/>
      <c r="AO415" s="27"/>
      <c r="AP415" s="27"/>
      <c r="AQ415" s="27"/>
      <c r="AR415" s="27"/>
      <c r="AS415" s="27"/>
    </row>
    <row r="416" spans="1:45" hidden="1">
      <c r="A416" s="97" t="s">
        <v>159</v>
      </c>
      <c r="B416" s="98">
        <f t="shared" ca="1" si="56"/>
        <v>1.0287725290351215</v>
      </c>
      <c r="C416" s="98">
        <f t="shared" ca="1" si="57"/>
        <v>0.95726416078207222</v>
      </c>
      <c r="D416" s="98">
        <f t="shared" ca="1" si="58"/>
        <v>1.0166520473679239</v>
      </c>
      <c r="E416" s="98">
        <f t="shared" ca="1" si="59"/>
        <v>0.89029691492622898</v>
      </c>
      <c r="F416" s="98">
        <f t="shared" ca="1" si="60"/>
        <v>1.0347609094832699</v>
      </c>
      <c r="G416" s="98">
        <f t="shared" ca="1" si="61"/>
        <v>1.0363089754542778</v>
      </c>
      <c r="H416" s="98">
        <f t="shared" ca="1" si="62"/>
        <v>0.13847561410889253</v>
      </c>
      <c r="I416" s="98">
        <f t="shared" ca="1" si="63"/>
        <v>-7.7496748701197715E-2</v>
      </c>
      <c r="J416" s="98">
        <f t="shared" ca="1" si="64"/>
        <v>-1.9656928086353886E-2</v>
      </c>
      <c r="M416" s="200" t="s">
        <v>159</v>
      </c>
      <c r="N416" s="71">
        <f t="shared" si="49"/>
        <v>29224340</v>
      </c>
      <c r="O416" s="71">
        <f t="shared" si="50"/>
        <v>32283779</v>
      </c>
      <c r="P416" s="71">
        <f t="shared" si="51"/>
        <v>32283779</v>
      </c>
      <c r="Q416" s="71">
        <f t="shared" si="52"/>
        <v>36103656</v>
      </c>
      <c r="R416" s="71">
        <f t="shared" si="53"/>
        <v>36088740</v>
      </c>
      <c r="S416" s="71">
        <f t="shared" si="54"/>
        <v>39072483</v>
      </c>
      <c r="T416" s="71">
        <f t="shared" si="55"/>
        <v>39564221</v>
      </c>
      <c r="U416" s="71">
        <f t="shared" si="55"/>
        <v>40652318</v>
      </c>
      <c r="V416" s="71">
        <f t="shared" si="55"/>
        <v>43026190</v>
      </c>
      <c r="W416" s="71">
        <f t="shared" si="55"/>
        <v>45538272.107807383</v>
      </c>
      <c r="AM416" s="27"/>
      <c r="AN416" s="27"/>
      <c r="AO416" s="27"/>
      <c r="AP416" s="27"/>
      <c r="AQ416" s="27"/>
      <c r="AR416" s="27"/>
      <c r="AS416" s="27"/>
    </row>
    <row r="417" spans="1:45" hidden="1">
      <c r="A417" s="97" t="s">
        <v>160</v>
      </c>
      <c r="B417" s="98">
        <f t="shared" ca="1" si="56"/>
        <v>0.93677733702663657</v>
      </c>
      <c r="C417" s="98">
        <f t="shared" ca="1" si="57"/>
        <v>0.98468467075518484</v>
      </c>
      <c r="D417" s="98">
        <f t="shared" ca="1" si="58"/>
        <v>1.0198563976044581</v>
      </c>
      <c r="E417" s="98">
        <f t="shared" ca="1" si="59"/>
        <v>0.85930026671541815</v>
      </c>
      <c r="F417" s="98">
        <f t="shared" ca="1" si="60"/>
        <v>0.7403156539307808</v>
      </c>
      <c r="G417" s="98">
        <f t="shared" ca="1" si="61"/>
        <v>0.78824765731165869</v>
      </c>
      <c r="H417" s="98">
        <f t="shared" ca="1" si="62"/>
        <v>7.7477070311218421E-2</v>
      </c>
      <c r="I417" s="98">
        <f t="shared" ca="1" si="63"/>
        <v>0.24436901682440404</v>
      </c>
      <c r="J417" s="98">
        <f t="shared" ca="1" si="64"/>
        <v>0.23160874029279943</v>
      </c>
      <c r="M417" s="200" t="s">
        <v>160</v>
      </c>
      <c r="N417" s="71">
        <f t="shared" si="49"/>
        <v>29224340</v>
      </c>
      <c r="O417" s="71">
        <f t="shared" si="50"/>
        <v>32283779</v>
      </c>
      <c r="P417" s="71">
        <f t="shared" si="51"/>
        <v>32283779</v>
      </c>
      <c r="Q417" s="71">
        <f t="shared" si="52"/>
        <v>36103656</v>
      </c>
      <c r="R417" s="71">
        <f t="shared" si="53"/>
        <v>36088740</v>
      </c>
      <c r="S417" s="71">
        <f t="shared" si="54"/>
        <v>39072483</v>
      </c>
      <c r="T417" s="71">
        <f t="shared" si="55"/>
        <v>39564221</v>
      </c>
      <c r="U417" s="71">
        <f t="shared" si="55"/>
        <v>40652318</v>
      </c>
      <c r="V417" s="71">
        <f t="shared" si="55"/>
        <v>43026190</v>
      </c>
      <c r="W417" s="71">
        <f t="shared" si="55"/>
        <v>45538272.107807383</v>
      </c>
      <c r="AM417" s="27"/>
      <c r="AN417" s="27"/>
      <c r="AO417" s="27"/>
      <c r="AP417" s="27"/>
      <c r="AQ417" s="27"/>
      <c r="AR417" s="27"/>
      <c r="AS417" s="27"/>
    </row>
    <row r="418" spans="1:45" hidden="1">
      <c r="A418" s="97" t="s">
        <v>161</v>
      </c>
      <c r="B418" s="98">
        <f t="shared" ca="1" si="56"/>
        <v>0.94206524705430106</v>
      </c>
      <c r="C418" s="98">
        <f t="shared" ca="1" si="57"/>
        <v>0.99432811713051883</v>
      </c>
      <c r="D418" s="98">
        <f t="shared" ca="1" si="58"/>
        <v>1.0054248158254175</v>
      </c>
      <c r="E418" s="98">
        <f t="shared" ca="1" si="59"/>
        <v>0.85130863386437083</v>
      </c>
      <c r="F418" s="98">
        <f t="shared" ca="1" si="60"/>
        <v>0.87059354653526211</v>
      </c>
      <c r="G418" s="98">
        <f t="shared" ca="1" si="61"/>
        <v>0.92477821671191274</v>
      </c>
      <c r="H418" s="98">
        <f t="shared" ca="1" si="62"/>
        <v>9.0756613189930224E-2</v>
      </c>
      <c r="I418" s="98">
        <f t="shared" ca="1" si="63"/>
        <v>0.12373457059525672</v>
      </c>
      <c r="J418" s="98">
        <f t="shared" ca="1" si="64"/>
        <v>8.0646599113504802E-2</v>
      </c>
      <c r="M418" s="200" t="s">
        <v>161</v>
      </c>
      <c r="N418" s="71">
        <f t="shared" si="49"/>
        <v>29224340</v>
      </c>
      <c r="O418" s="71">
        <f t="shared" si="50"/>
        <v>32283779</v>
      </c>
      <c r="P418" s="71">
        <f t="shared" si="51"/>
        <v>32283779</v>
      </c>
      <c r="Q418" s="71">
        <f t="shared" si="52"/>
        <v>36103656</v>
      </c>
      <c r="R418" s="71">
        <f t="shared" si="53"/>
        <v>36088740</v>
      </c>
      <c r="S418" s="71">
        <f t="shared" si="54"/>
        <v>39072483</v>
      </c>
      <c r="T418" s="71">
        <f t="shared" si="55"/>
        <v>39564221</v>
      </c>
      <c r="U418" s="71">
        <f t="shared" si="55"/>
        <v>40652318</v>
      </c>
      <c r="V418" s="71">
        <f t="shared" si="55"/>
        <v>43026190</v>
      </c>
      <c r="W418" s="71">
        <f t="shared" si="55"/>
        <v>45538272.107807383</v>
      </c>
      <c r="AM418" s="27"/>
      <c r="AN418" s="27"/>
      <c r="AO418" s="27"/>
      <c r="AP418" s="27"/>
      <c r="AQ418" s="27"/>
      <c r="AR418" s="27"/>
      <c r="AS418" s="27"/>
    </row>
    <row r="419" spans="1:45" hidden="1">
      <c r="A419" s="97" t="s">
        <v>162</v>
      </c>
      <c r="B419" s="98">
        <f t="shared" ca="1" si="56"/>
        <v>0.97070846243011255</v>
      </c>
      <c r="C419" s="98">
        <f t="shared" ca="1" si="57"/>
        <v>1.0676389539255051</v>
      </c>
      <c r="D419" s="98">
        <f t="shared" ca="1" si="58"/>
        <v>1.0969641774887546</v>
      </c>
      <c r="E419" s="98">
        <f t="shared" ca="1" si="59"/>
        <v>0.86707267221514928</v>
      </c>
      <c r="F419" s="98">
        <f t="shared" ca="1" si="60"/>
        <v>0.89192093996702837</v>
      </c>
      <c r="G419" s="98">
        <f t="shared" ca="1" si="61"/>
        <v>0.91908730366219538</v>
      </c>
      <c r="H419" s="98">
        <f t="shared" ca="1" si="62"/>
        <v>0.10363579021496327</v>
      </c>
      <c r="I419" s="98">
        <f t="shared" ca="1" si="63"/>
        <v>0.17571801395847675</v>
      </c>
      <c r="J419" s="98">
        <f t="shared" ca="1" si="64"/>
        <v>0.17787687382655926</v>
      </c>
      <c r="M419" s="200" t="s">
        <v>162</v>
      </c>
      <c r="N419" s="71">
        <f t="shared" si="49"/>
        <v>29224340</v>
      </c>
      <c r="O419" s="71">
        <f t="shared" si="50"/>
        <v>32283779</v>
      </c>
      <c r="P419" s="71">
        <f t="shared" si="51"/>
        <v>32283779</v>
      </c>
      <c r="Q419" s="71">
        <f t="shared" si="52"/>
        <v>36103656</v>
      </c>
      <c r="R419" s="71">
        <f t="shared" si="53"/>
        <v>36088740</v>
      </c>
      <c r="S419" s="71">
        <f t="shared" si="54"/>
        <v>39072483</v>
      </c>
      <c r="T419" s="71">
        <f t="shared" si="55"/>
        <v>39564221</v>
      </c>
      <c r="U419" s="71">
        <f t="shared" si="55"/>
        <v>40652318</v>
      </c>
      <c r="V419" s="71">
        <f t="shared" si="55"/>
        <v>43026190</v>
      </c>
      <c r="W419" s="71">
        <f t="shared" si="55"/>
        <v>45538272.107807383</v>
      </c>
      <c r="AM419" s="27"/>
      <c r="AN419" s="27"/>
      <c r="AO419" s="27"/>
      <c r="AP419" s="27"/>
      <c r="AQ419" s="27"/>
      <c r="AR419" s="27"/>
      <c r="AS419" s="27"/>
    </row>
    <row r="420" spans="1:45" hidden="1">
      <c r="A420" s="97" t="s">
        <v>163</v>
      </c>
      <c r="B420" s="98">
        <f t="shared" ca="1" si="56"/>
        <v>0.98738489401760576</v>
      </c>
      <c r="C420" s="98">
        <f t="shared" ca="1" si="57"/>
        <v>1.0623895462740249</v>
      </c>
      <c r="D420" s="98" t="str">
        <f t="shared" ca="1" si="58"/>
        <v/>
      </c>
      <c r="E420" s="98">
        <f t="shared" ca="1" si="59"/>
        <v>0.86247102071768766</v>
      </c>
      <c r="F420" s="98">
        <f t="shared" ca="1" si="60"/>
        <v>0.87868288377381432</v>
      </c>
      <c r="G420" s="98" t="str">
        <f t="shared" ca="1" si="61"/>
        <v/>
      </c>
      <c r="H420" s="98">
        <f t="shared" ca="1" si="62"/>
        <v>0.1249138732999181</v>
      </c>
      <c r="I420" s="98">
        <f t="shared" ca="1" si="63"/>
        <v>0.18370666250021062</v>
      </c>
      <c r="J420" s="98" t="str">
        <f t="shared" ca="1" si="64"/>
        <v/>
      </c>
      <c r="M420" s="200" t="s">
        <v>163</v>
      </c>
      <c r="N420" s="71">
        <f t="shared" si="49"/>
        <v>29224340</v>
      </c>
      <c r="O420" s="71">
        <f t="shared" si="50"/>
        <v>32283779</v>
      </c>
      <c r="P420" s="71">
        <f t="shared" si="51"/>
        <v>32283779</v>
      </c>
      <c r="Q420" s="71">
        <f t="shared" si="52"/>
        <v>36103656</v>
      </c>
      <c r="R420" s="71">
        <f t="shared" si="53"/>
        <v>36088740</v>
      </c>
      <c r="S420" s="71">
        <f t="shared" si="54"/>
        <v>39072483</v>
      </c>
      <c r="T420" s="71">
        <f t="shared" si="55"/>
        <v>39564221</v>
      </c>
      <c r="U420" s="71">
        <f t="shared" si="55"/>
        <v>40652318</v>
      </c>
      <c r="V420" s="71">
        <f t="shared" si="55"/>
        <v>43026190</v>
      </c>
      <c r="W420" s="71">
        <f t="shared" si="55"/>
        <v>45538272.107807383</v>
      </c>
      <c r="AM420" s="27"/>
      <c r="AN420" s="27"/>
      <c r="AO420" s="27"/>
      <c r="AP420" s="27"/>
      <c r="AQ420" s="27"/>
      <c r="AR420" s="27"/>
      <c r="AS420" s="27"/>
    </row>
    <row r="421" spans="1:45" hidden="1">
      <c r="A421" s="97" t="s">
        <v>164</v>
      </c>
      <c r="B421" s="98">
        <f t="shared" ca="1" si="56"/>
        <v>0.90915696861369566</v>
      </c>
      <c r="C421" s="98">
        <f t="shared" ca="1" si="57"/>
        <v>0.96006536444430723</v>
      </c>
      <c r="D421" s="98" t="str">
        <f t="shared" ca="1" si="58"/>
        <v/>
      </c>
      <c r="E421" s="98">
        <f t="shared" ca="1" si="59"/>
        <v>0.87745996673547522</v>
      </c>
      <c r="F421" s="98">
        <f t="shared" ca="1" si="60"/>
        <v>0.92173024671717307</v>
      </c>
      <c r="G421" s="98" t="str">
        <f t="shared" ca="1" si="61"/>
        <v/>
      </c>
      <c r="H421" s="98">
        <f t="shared" ca="1" si="62"/>
        <v>3.1697001878220443E-2</v>
      </c>
      <c r="I421" s="98">
        <f t="shared" ca="1" si="63"/>
        <v>3.833511772713416E-2</v>
      </c>
      <c r="J421" s="98" t="str">
        <f t="shared" ca="1" si="64"/>
        <v/>
      </c>
      <c r="M421" s="200" t="s">
        <v>164</v>
      </c>
      <c r="N421" s="71">
        <f t="shared" si="49"/>
        <v>29224340</v>
      </c>
      <c r="O421" s="71">
        <f t="shared" si="50"/>
        <v>32283779</v>
      </c>
      <c r="P421" s="71">
        <f t="shared" si="51"/>
        <v>32283779</v>
      </c>
      <c r="Q421" s="71">
        <f t="shared" si="52"/>
        <v>36103656</v>
      </c>
      <c r="R421" s="71">
        <f t="shared" si="53"/>
        <v>36088740</v>
      </c>
      <c r="S421" s="71">
        <f t="shared" si="54"/>
        <v>39072483</v>
      </c>
      <c r="T421" s="71">
        <f t="shared" si="55"/>
        <v>39564221</v>
      </c>
      <c r="U421" s="71">
        <f t="shared" si="55"/>
        <v>40652318</v>
      </c>
      <c r="V421" s="71">
        <f t="shared" si="55"/>
        <v>43026190</v>
      </c>
      <c r="W421" s="71">
        <f t="shared" si="55"/>
        <v>45538272.107807383</v>
      </c>
      <c r="AM421" s="27"/>
      <c r="AN421" s="27"/>
      <c r="AO421" s="27"/>
      <c r="AP421" s="27"/>
      <c r="AQ421" s="27"/>
      <c r="AR421" s="27"/>
      <c r="AS421" s="27"/>
    </row>
    <row r="422" spans="1:45" hidden="1">
      <c r="A422" s="97" t="s">
        <v>165</v>
      </c>
      <c r="B422" s="98">
        <f t="shared" ca="1" si="56"/>
        <v>0.96936125019980413</v>
      </c>
      <c r="C422" s="98">
        <f t="shared" ca="1" si="57"/>
        <v>1.0590074378884105</v>
      </c>
      <c r="D422" s="98" t="str">
        <f t="shared" ca="1" si="58"/>
        <v/>
      </c>
      <c r="E422" s="98">
        <f t="shared" ca="1" si="59"/>
        <v>0.92524795757034095</v>
      </c>
      <c r="F422" s="98">
        <f t="shared" ca="1" si="60"/>
        <v>0.9413018767871385</v>
      </c>
      <c r="G422" s="98" t="str">
        <f t="shared" ca="1" si="61"/>
        <v/>
      </c>
      <c r="H422" s="98">
        <f t="shared" ca="1" si="62"/>
        <v>4.4113292629463174E-2</v>
      </c>
      <c r="I422" s="98">
        <f t="shared" ca="1" si="63"/>
        <v>0.11770556110127195</v>
      </c>
      <c r="J422" s="98" t="str">
        <f t="shared" ca="1" si="64"/>
        <v/>
      </c>
      <c r="M422" s="200" t="s">
        <v>165</v>
      </c>
      <c r="N422" s="71">
        <f t="shared" si="49"/>
        <v>29224340</v>
      </c>
      <c r="O422" s="71">
        <f t="shared" si="50"/>
        <v>32283779</v>
      </c>
      <c r="P422" s="71">
        <f t="shared" si="51"/>
        <v>32283779</v>
      </c>
      <c r="Q422" s="71">
        <f t="shared" si="52"/>
        <v>36103656</v>
      </c>
      <c r="R422" s="71">
        <f t="shared" si="53"/>
        <v>36088740</v>
      </c>
      <c r="S422" s="71">
        <f t="shared" si="54"/>
        <v>39072483</v>
      </c>
      <c r="T422" s="71">
        <f t="shared" si="55"/>
        <v>39564221</v>
      </c>
      <c r="U422" s="71">
        <f t="shared" si="55"/>
        <v>40652318</v>
      </c>
      <c r="V422" s="71">
        <f t="shared" si="55"/>
        <v>43026190</v>
      </c>
      <c r="W422" s="71">
        <f t="shared" si="55"/>
        <v>45538272.107807383</v>
      </c>
      <c r="AM422" s="27"/>
      <c r="AN422" s="27"/>
      <c r="AO422" s="27"/>
      <c r="AP422" s="27"/>
      <c r="AQ422" s="27"/>
      <c r="AR422" s="27"/>
      <c r="AS422" s="27"/>
    </row>
    <row r="423" spans="1:45" hidden="1">
      <c r="A423" s="97" t="s">
        <v>166</v>
      </c>
      <c r="B423" s="98">
        <f t="shared" ca="1" si="56"/>
        <v>0.94285825964462933</v>
      </c>
      <c r="C423" s="98">
        <f t="shared" ca="1" si="57"/>
        <v>0.99826476808660169</v>
      </c>
      <c r="D423" s="98" t="str">
        <f t="shared" ca="1" si="58"/>
        <v/>
      </c>
      <c r="E423" s="98">
        <f t="shared" ca="1" si="59"/>
        <v>0.92014324496822109</v>
      </c>
      <c r="F423" s="98">
        <f t="shared" ca="1" si="60"/>
        <v>0.93262182682222161</v>
      </c>
      <c r="G423" s="98" t="str">
        <f t="shared" ca="1" si="61"/>
        <v/>
      </c>
      <c r="H423" s="98">
        <f t="shared" ca="1" si="62"/>
        <v>2.2715014676408241E-2</v>
      </c>
      <c r="I423" s="98">
        <f t="shared" ca="1" si="63"/>
        <v>6.5642941264380084E-2</v>
      </c>
      <c r="J423" s="98" t="str">
        <f t="shared" ca="1" si="64"/>
        <v/>
      </c>
      <c r="M423" s="200" t="s">
        <v>166</v>
      </c>
      <c r="N423" s="71">
        <f t="shared" si="49"/>
        <v>29224340</v>
      </c>
      <c r="O423" s="71">
        <f t="shared" si="50"/>
        <v>32283779</v>
      </c>
      <c r="P423" s="71">
        <f t="shared" si="51"/>
        <v>32283779</v>
      </c>
      <c r="Q423" s="71">
        <f t="shared" si="52"/>
        <v>36103656</v>
      </c>
      <c r="R423" s="71">
        <f t="shared" si="53"/>
        <v>36088740</v>
      </c>
      <c r="S423" s="71">
        <f t="shared" si="54"/>
        <v>39072483</v>
      </c>
      <c r="T423" s="71">
        <f t="shared" si="55"/>
        <v>39564221</v>
      </c>
      <c r="U423" s="71">
        <f t="shared" si="55"/>
        <v>40652318</v>
      </c>
      <c r="V423" s="71">
        <f t="shared" si="55"/>
        <v>43026190</v>
      </c>
      <c r="W423" s="71">
        <f t="shared" si="55"/>
        <v>45538272.107807383</v>
      </c>
      <c r="AM423" s="27"/>
      <c r="AN423" s="27"/>
      <c r="AO423" s="27"/>
      <c r="AP423" s="27"/>
      <c r="AQ423" s="27"/>
      <c r="AR423" s="27"/>
      <c r="AS423" s="27"/>
    </row>
    <row r="424" spans="1:45" hidden="1">
      <c r="A424" s="97" t="s">
        <v>167</v>
      </c>
      <c r="B424" s="98">
        <f t="shared" ca="1" si="56"/>
        <v>0.92172489893442133</v>
      </c>
      <c r="C424" s="98">
        <f t="shared" ca="1" si="57"/>
        <v>1.076867964906957</v>
      </c>
      <c r="D424" s="98" t="str">
        <f t="shared" ca="1" si="58"/>
        <v/>
      </c>
      <c r="E424" s="98">
        <f t="shared" ca="1" si="59"/>
        <v>0.93098340419358083</v>
      </c>
      <c r="F424" s="98">
        <f t="shared" ca="1" si="60"/>
        <v>1.0731661600759905</v>
      </c>
      <c r="G424" s="98" t="str">
        <f t="shared" ca="1" si="61"/>
        <v/>
      </c>
      <c r="H424" s="98">
        <f t="shared" ca="1" si="62"/>
        <v>-9.2585052591594996E-3</v>
      </c>
      <c r="I424" s="98">
        <f t="shared" ca="1" si="63"/>
        <v>3.701804830966493E-3</v>
      </c>
      <c r="J424" s="98" t="str">
        <f t="shared" ca="1" si="64"/>
        <v/>
      </c>
      <c r="M424" s="200" t="s">
        <v>167</v>
      </c>
      <c r="N424" s="71">
        <f t="shared" si="49"/>
        <v>29224340</v>
      </c>
      <c r="O424" s="71">
        <f t="shared" si="50"/>
        <v>32283779</v>
      </c>
      <c r="P424" s="71">
        <f t="shared" si="51"/>
        <v>32283779</v>
      </c>
      <c r="Q424" s="71">
        <f t="shared" si="52"/>
        <v>36103656</v>
      </c>
      <c r="R424" s="71">
        <f t="shared" si="53"/>
        <v>36088740</v>
      </c>
      <c r="S424" s="71">
        <f t="shared" si="54"/>
        <v>39072483</v>
      </c>
      <c r="T424" s="71">
        <f t="shared" si="55"/>
        <v>39564221</v>
      </c>
      <c r="U424" s="71">
        <f t="shared" si="55"/>
        <v>40652318</v>
      </c>
      <c r="V424" s="71">
        <f t="shared" si="55"/>
        <v>43026190</v>
      </c>
      <c r="W424" s="71">
        <f t="shared" si="55"/>
        <v>45538272.107807383</v>
      </c>
      <c r="AM424" s="27"/>
      <c r="AN424" s="27"/>
      <c r="AO424" s="27"/>
      <c r="AP424" s="27"/>
      <c r="AQ424" s="27"/>
      <c r="AR424" s="27"/>
      <c r="AS424" s="27"/>
    </row>
    <row r="425" spans="1:45" hidden="1">
      <c r="A425" s="108" t="s">
        <v>168</v>
      </c>
      <c r="B425" s="98">
        <f t="shared" ref="B425:G425" ca="1" si="65">SUM(B413:B424)</f>
        <v>11.436062565977172</v>
      </c>
      <c r="C425" s="98">
        <f t="shared" ca="1" si="65"/>
        <v>12.060919736653421</v>
      </c>
      <c r="D425" s="98">
        <f t="shared" ca="1" si="65"/>
        <v>7.1129211338580127</v>
      </c>
      <c r="E425" s="98">
        <f t="shared" ca="1" si="65"/>
        <v>10.606749563456628</v>
      </c>
      <c r="F425" s="98">
        <f t="shared" ca="1" si="65"/>
        <v>10.956422953252426</v>
      </c>
      <c r="G425" s="98">
        <f t="shared" ca="1" si="65"/>
        <v>6.3212462543489352</v>
      </c>
      <c r="H425" s="108" t="s">
        <v>61</v>
      </c>
      <c r="I425" s="108" t="s">
        <v>61</v>
      </c>
      <c r="J425" s="108" t="s">
        <v>61</v>
      </c>
      <c r="AM425" s="27"/>
      <c r="AN425" s="27"/>
      <c r="AO425" s="27"/>
      <c r="AP425" s="27"/>
      <c r="AQ425" s="27"/>
      <c r="AR425" s="27"/>
      <c r="AS425" s="27"/>
    </row>
    <row r="426" spans="1:45" hidden="1">
      <c r="A426" s="89"/>
      <c r="B426" s="89"/>
      <c r="C426" s="89"/>
      <c r="D426" s="89"/>
      <c r="E426" s="89"/>
      <c r="F426" s="89"/>
      <c r="G426" s="89"/>
      <c r="H426" s="89"/>
      <c r="I426" s="89"/>
      <c r="J426" s="89"/>
      <c r="AM426" s="27"/>
      <c r="AN426" s="27"/>
      <c r="AO426" s="27"/>
      <c r="AP426" s="27"/>
      <c r="AQ426" s="27"/>
      <c r="AR426" s="27"/>
      <c r="AS426" s="27"/>
    </row>
    <row r="427" spans="1:45" hidden="1">
      <c r="A427" s="89"/>
      <c r="B427" s="89"/>
      <c r="C427" s="89"/>
      <c r="D427" s="89"/>
      <c r="E427" s="89"/>
      <c r="F427" s="89"/>
      <c r="G427" s="89"/>
      <c r="H427" s="89"/>
      <c r="I427" s="89"/>
      <c r="J427" s="89"/>
      <c r="AM427" s="27"/>
      <c r="AN427" s="27"/>
      <c r="AO427" s="27"/>
      <c r="AP427" s="27"/>
      <c r="AQ427" s="27"/>
      <c r="AR427" s="27"/>
      <c r="AS427" s="27"/>
    </row>
    <row r="428" spans="1:45" hidden="1">
      <c r="A428" s="89"/>
      <c r="B428" s="89"/>
      <c r="C428" s="89"/>
      <c r="D428" s="89"/>
      <c r="E428" s="89"/>
      <c r="F428" s="89"/>
      <c r="G428" s="89"/>
      <c r="H428" s="89"/>
      <c r="I428" s="89"/>
      <c r="J428" s="89"/>
      <c r="AM428" s="27"/>
      <c r="AN428" s="27"/>
      <c r="AO428" s="27"/>
      <c r="AP428" s="27"/>
      <c r="AQ428" s="27"/>
      <c r="AR428" s="27"/>
      <c r="AS428" s="27"/>
    </row>
    <row r="429" spans="1:45" hidden="1">
      <c r="A429" s="89"/>
      <c r="B429" s="89"/>
      <c r="C429" s="89"/>
      <c r="D429" s="89"/>
      <c r="E429" s="89"/>
      <c r="F429" s="89"/>
      <c r="G429" s="89"/>
      <c r="H429" s="89"/>
      <c r="I429" s="89"/>
      <c r="J429" s="89"/>
      <c r="AM429" s="27"/>
      <c r="AN429" s="27"/>
      <c r="AO429" s="27"/>
      <c r="AP429" s="27"/>
      <c r="AQ429" s="27"/>
      <c r="AR429" s="27"/>
      <c r="AS429" s="27"/>
    </row>
    <row r="430" spans="1:45" hidden="1">
      <c r="A430" s="89"/>
      <c r="B430" s="89"/>
      <c r="C430" s="89"/>
      <c r="D430" s="89"/>
      <c r="E430" s="89"/>
      <c r="F430" s="89"/>
      <c r="G430" s="89"/>
      <c r="H430" s="89"/>
      <c r="I430" s="89"/>
      <c r="J430" s="89"/>
      <c r="AM430" s="27"/>
      <c r="AN430" s="27"/>
      <c r="AO430" s="27"/>
      <c r="AP430" s="27"/>
      <c r="AQ430" s="27"/>
      <c r="AR430" s="27"/>
      <c r="AS430" s="27"/>
    </row>
    <row r="431" spans="1:45" hidden="1">
      <c r="A431" s="89"/>
      <c r="B431" s="89"/>
      <c r="C431" s="89"/>
      <c r="D431" s="89"/>
      <c r="E431" s="89"/>
      <c r="F431" s="89"/>
      <c r="G431" s="89"/>
      <c r="H431" s="89"/>
      <c r="I431" s="89"/>
      <c r="J431" s="89"/>
      <c r="AM431" s="27"/>
      <c r="AN431" s="27"/>
      <c r="AO431" s="27"/>
      <c r="AP431" s="27"/>
      <c r="AQ431" s="27"/>
      <c r="AR431" s="27"/>
      <c r="AS431" s="27"/>
    </row>
    <row r="432" spans="1:45" hidden="1">
      <c r="A432" s="89"/>
      <c r="B432" s="89"/>
      <c r="C432" s="89"/>
      <c r="D432" s="89"/>
      <c r="E432" s="89"/>
      <c r="F432" s="89"/>
      <c r="G432" s="89"/>
      <c r="H432" s="89"/>
      <c r="I432" s="89"/>
      <c r="J432" s="89"/>
      <c r="AM432" s="27"/>
      <c r="AN432" s="27"/>
      <c r="AO432" s="27"/>
      <c r="AP432" s="27"/>
      <c r="AQ432" s="27"/>
      <c r="AR432" s="27"/>
      <c r="AS432" s="27"/>
    </row>
    <row r="433" spans="1:10" hidden="1">
      <c r="A433" s="89"/>
      <c r="B433" s="89"/>
      <c r="C433" s="89"/>
      <c r="D433" s="89"/>
      <c r="E433" s="89"/>
      <c r="F433" s="89"/>
      <c r="G433" s="89"/>
      <c r="H433" s="89"/>
      <c r="I433" s="89"/>
      <c r="J433" s="89"/>
    </row>
    <row r="434" spans="1:10" hidden="1">
      <c r="A434" s="89"/>
      <c r="B434" s="89"/>
      <c r="C434" s="89"/>
      <c r="D434" s="89"/>
      <c r="E434" s="89"/>
      <c r="F434" s="89"/>
      <c r="G434" s="89"/>
      <c r="H434" s="89"/>
      <c r="I434" s="89"/>
      <c r="J434" s="89"/>
    </row>
    <row r="435" spans="1:10" hidden="1">
      <c r="A435" s="89"/>
      <c r="B435" s="89"/>
      <c r="C435" s="89"/>
      <c r="D435" s="89"/>
      <c r="E435" s="89"/>
      <c r="F435" s="89"/>
      <c r="G435" s="89"/>
      <c r="H435" s="89"/>
      <c r="I435" s="89"/>
      <c r="J435" s="89"/>
    </row>
    <row r="436" spans="1:10" hidden="1">
      <c r="A436" s="89"/>
      <c r="B436" s="89"/>
      <c r="C436" s="89"/>
      <c r="D436" s="89"/>
      <c r="E436" s="89"/>
      <c r="F436" s="89"/>
      <c r="G436" s="89"/>
      <c r="H436" s="89"/>
      <c r="I436" s="89"/>
      <c r="J436" s="89"/>
    </row>
    <row r="437" spans="1:10" hidden="1">
      <c r="A437" s="89"/>
      <c r="B437" s="89"/>
      <c r="C437" s="89"/>
      <c r="D437" s="89"/>
      <c r="E437" s="89"/>
      <c r="F437" s="89"/>
      <c r="G437" s="89"/>
      <c r="H437" s="89"/>
      <c r="I437" s="89"/>
      <c r="J437" s="89"/>
    </row>
    <row r="438" spans="1:10" hidden="1">
      <c r="A438" s="89"/>
      <c r="B438" s="89"/>
      <c r="C438" s="89"/>
      <c r="D438" s="89"/>
      <c r="E438" s="89"/>
      <c r="F438" s="89"/>
      <c r="G438" s="89"/>
      <c r="H438" s="89"/>
      <c r="I438" s="89"/>
      <c r="J438" s="89"/>
    </row>
    <row r="439" spans="1:10" hidden="1">
      <c r="A439" s="89"/>
      <c r="B439" s="89"/>
      <c r="C439" s="89"/>
      <c r="D439" s="89"/>
      <c r="E439" s="89"/>
      <c r="F439" s="89"/>
      <c r="G439" s="89"/>
      <c r="H439" s="89"/>
      <c r="I439" s="89"/>
      <c r="J439" s="89"/>
    </row>
    <row r="440" spans="1:10" hidden="1">
      <c r="A440" s="89"/>
      <c r="B440" s="89"/>
      <c r="C440" s="89"/>
      <c r="D440" s="89"/>
      <c r="E440" s="89"/>
      <c r="F440" s="89"/>
      <c r="G440" s="89"/>
      <c r="H440" s="89"/>
      <c r="I440" s="89"/>
      <c r="J440" s="89"/>
    </row>
    <row r="441" spans="1:10" hidden="1">
      <c r="A441" s="89"/>
      <c r="B441" s="89"/>
      <c r="C441" s="89"/>
      <c r="D441" s="89"/>
      <c r="E441" s="89"/>
      <c r="F441" s="89"/>
      <c r="G441" s="89"/>
      <c r="H441" s="89"/>
      <c r="I441" s="89"/>
      <c r="J441" s="89"/>
    </row>
    <row r="442" spans="1:10" hidden="1">
      <c r="A442" s="89"/>
      <c r="B442" s="89"/>
      <c r="C442" s="89"/>
      <c r="D442" s="89"/>
      <c r="E442" s="89"/>
      <c r="F442" s="89"/>
      <c r="G442" s="89"/>
      <c r="H442" s="89"/>
      <c r="I442" s="89"/>
      <c r="J442" s="89"/>
    </row>
    <row r="443" spans="1:10" hidden="1">
      <c r="A443" s="89"/>
      <c r="B443" s="89"/>
      <c r="C443" s="89"/>
      <c r="D443" s="89"/>
      <c r="E443" s="89"/>
      <c r="F443" s="89"/>
      <c r="G443" s="89"/>
      <c r="H443" s="89"/>
      <c r="I443" s="89"/>
      <c r="J443" s="89"/>
    </row>
    <row r="444" spans="1:10" hidden="1">
      <c r="A444" s="89"/>
      <c r="B444" s="89"/>
      <c r="C444" s="89"/>
      <c r="D444" s="89"/>
      <c r="E444" s="89"/>
      <c r="F444" s="89"/>
      <c r="G444" s="89"/>
      <c r="H444" s="89"/>
      <c r="I444" s="89"/>
      <c r="J444" s="89"/>
    </row>
    <row r="445" spans="1:10" hidden="1">
      <c r="A445" s="89"/>
      <c r="B445" s="89"/>
      <c r="C445" s="89"/>
      <c r="D445" s="89"/>
      <c r="E445" s="89"/>
      <c r="F445" s="89"/>
      <c r="G445" s="89"/>
      <c r="H445" s="89"/>
      <c r="I445" s="89"/>
      <c r="J445" s="89"/>
    </row>
    <row r="446" spans="1:10" hidden="1">
      <c r="A446" s="89"/>
      <c r="B446" s="89"/>
      <c r="C446" s="89"/>
      <c r="D446" s="89"/>
      <c r="E446" s="89"/>
      <c r="F446" s="89"/>
      <c r="G446" s="89"/>
      <c r="H446" s="89"/>
      <c r="I446" s="89"/>
      <c r="J446" s="89"/>
    </row>
    <row r="447" spans="1:10" hidden="1">
      <c r="A447" s="89"/>
      <c r="B447" s="89"/>
      <c r="C447" s="89"/>
      <c r="D447" s="89"/>
      <c r="E447" s="89"/>
      <c r="F447" s="89"/>
      <c r="G447" s="89"/>
      <c r="H447" s="89"/>
      <c r="I447" s="89"/>
      <c r="J447" s="89"/>
    </row>
    <row r="448" spans="1:10" hidden="1">
      <c r="A448" s="89"/>
      <c r="B448" s="89"/>
      <c r="C448" s="89"/>
      <c r="D448" s="89"/>
      <c r="E448" s="89"/>
      <c r="F448" s="89"/>
      <c r="G448" s="89"/>
      <c r="H448" s="89"/>
      <c r="I448" s="89"/>
      <c r="J448" s="89"/>
    </row>
    <row r="449" spans="1:10" hidden="1">
      <c r="A449" s="89"/>
      <c r="B449" s="89"/>
      <c r="C449" s="89"/>
      <c r="D449" s="89"/>
      <c r="E449" s="89"/>
      <c r="F449" s="89"/>
      <c r="G449" s="89"/>
      <c r="H449" s="89"/>
      <c r="I449" s="89"/>
      <c r="J449" s="89"/>
    </row>
    <row r="450" spans="1:10" hidden="1">
      <c r="A450" s="89"/>
      <c r="B450" s="89"/>
      <c r="C450" s="89"/>
      <c r="D450" s="89"/>
      <c r="E450" s="89"/>
      <c r="F450" s="89"/>
      <c r="G450" s="89"/>
      <c r="H450" s="89"/>
      <c r="I450" s="89"/>
      <c r="J450" s="89"/>
    </row>
    <row r="451" spans="1:10" hidden="1">
      <c r="A451" s="89"/>
      <c r="B451" s="89"/>
      <c r="C451" s="89"/>
      <c r="D451" s="89"/>
      <c r="E451" s="89"/>
      <c r="F451" s="89"/>
      <c r="G451" s="89"/>
      <c r="H451" s="89"/>
      <c r="I451" s="89"/>
      <c r="J451" s="89"/>
    </row>
    <row r="452" spans="1:10" hidden="1">
      <c r="A452" s="89"/>
      <c r="B452" s="89"/>
      <c r="C452" s="89"/>
      <c r="D452" s="89"/>
      <c r="E452" s="89"/>
      <c r="F452" s="89"/>
      <c r="G452" s="89"/>
      <c r="H452" s="89"/>
      <c r="I452" s="89"/>
      <c r="J452" s="89"/>
    </row>
    <row r="453" spans="1:10" hidden="1">
      <c r="A453" s="89"/>
      <c r="B453" s="89"/>
      <c r="C453" s="89"/>
      <c r="D453" s="89"/>
      <c r="E453" s="89"/>
      <c r="F453" s="89"/>
      <c r="G453" s="89"/>
      <c r="H453" s="89"/>
      <c r="I453" s="89"/>
      <c r="J453" s="89"/>
    </row>
    <row r="454" spans="1:10" hidden="1">
      <c r="A454" s="89"/>
      <c r="B454" s="89"/>
      <c r="C454" s="89"/>
      <c r="D454" s="89"/>
      <c r="E454" s="89"/>
      <c r="F454" s="89"/>
      <c r="G454" s="89"/>
      <c r="H454" s="89"/>
      <c r="I454" s="89"/>
      <c r="J454" s="89"/>
    </row>
    <row r="455" spans="1:10" hidden="1">
      <c r="A455" s="89"/>
      <c r="B455" s="89"/>
      <c r="C455" s="89"/>
      <c r="D455" s="89"/>
      <c r="E455" s="89"/>
      <c r="F455" s="89"/>
      <c r="G455" s="89"/>
      <c r="H455" s="89"/>
      <c r="I455" s="89"/>
      <c r="J455" s="89"/>
    </row>
    <row r="456" spans="1:10" hidden="1">
      <c r="A456" s="89"/>
      <c r="B456" s="89"/>
      <c r="C456" s="89"/>
      <c r="D456" s="89"/>
      <c r="E456" s="89"/>
      <c r="F456" s="89"/>
      <c r="G456" s="89"/>
      <c r="H456" s="89"/>
      <c r="I456" s="89"/>
      <c r="J456" s="89"/>
    </row>
    <row r="457" spans="1:10" hidden="1">
      <c r="A457" s="89"/>
      <c r="B457" s="89"/>
      <c r="C457" s="89"/>
      <c r="D457" s="89"/>
      <c r="E457" s="89"/>
      <c r="F457" s="89"/>
      <c r="G457" s="89"/>
      <c r="H457" s="89"/>
      <c r="I457" s="89"/>
      <c r="J457" s="89"/>
    </row>
    <row r="458" spans="1:10" hidden="1">
      <c r="A458" s="89"/>
      <c r="B458" s="89"/>
      <c r="C458" s="89"/>
      <c r="D458" s="89"/>
      <c r="E458" s="89"/>
      <c r="F458" s="89"/>
      <c r="G458" s="89"/>
      <c r="H458" s="89"/>
      <c r="I458" s="89"/>
      <c r="J458" s="89"/>
    </row>
    <row r="459" spans="1:10" hidden="1">
      <c r="A459" s="89"/>
      <c r="B459" s="89"/>
      <c r="C459" s="89"/>
      <c r="D459" s="89"/>
      <c r="E459" s="89"/>
      <c r="F459" s="89"/>
      <c r="G459" s="89"/>
      <c r="H459" s="89"/>
      <c r="I459" s="89"/>
      <c r="J459" s="89"/>
    </row>
    <row r="460" spans="1:10" hidden="1">
      <c r="A460" s="89"/>
      <c r="B460" s="89"/>
      <c r="C460" s="89"/>
      <c r="D460" s="89"/>
      <c r="E460" s="89"/>
      <c r="F460" s="89"/>
      <c r="G460" s="89"/>
      <c r="H460" s="89"/>
      <c r="I460" s="89"/>
      <c r="J460" s="89"/>
    </row>
    <row r="461" spans="1:10" hidden="1">
      <c r="A461" s="89"/>
      <c r="B461" s="89"/>
      <c r="C461" s="89"/>
      <c r="D461" s="89"/>
      <c r="E461" s="89"/>
      <c r="F461" s="89"/>
      <c r="G461" s="89"/>
      <c r="H461" s="89"/>
      <c r="I461" s="89"/>
      <c r="J461" s="89"/>
    </row>
    <row r="462" spans="1:10" hidden="1">
      <c r="A462" s="89"/>
      <c r="B462" s="89"/>
      <c r="C462" s="89"/>
      <c r="D462" s="89"/>
      <c r="E462" s="89"/>
      <c r="F462" s="89"/>
      <c r="G462" s="89"/>
      <c r="H462" s="89"/>
      <c r="I462" s="89"/>
      <c r="J462" s="89"/>
    </row>
    <row r="463" spans="1:10" hidden="1">
      <c r="A463" s="89"/>
      <c r="B463" s="89"/>
      <c r="C463" s="89"/>
      <c r="D463" s="89"/>
      <c r="E463" s="89"/>
      <c r="F463" s="89"/>
      <c r="G463" s="89"/>
      <c r="H463" s="89"/>
      <c r="I463" s="89"/>
      <c r="J463" s="89"/>
    </row>
    <row r="464" spans="1:10" hidden="1">
      <c r="A464" s="89"/>
      <c r="B464" s="89"/>
      <c r="C464" s="89"/>
      <c r="D464" s="89"/>
      <c r="E464" s="89"/>
      <c r="F464" s="89"/>
      <c r="G464" s="89"/>
      <c r="H464" s="89"/>
      <c r="I464" s="89"/>
      <c r="J464" s="89"/>
    </row>
    <row r="465" spans="1:10" hidden="1">
      <c r="A465" s="89"/>
      <c r="B465" s="89"/>
      <c r="C465" s="89"/>
      <c r="D465" s="89"/>
      <c r="E465" s="89"/>
      <c r="F465" s="89"/>
      <c r="G465" s="89"/>
      <c r="H465" s="89"/>
      <c r="I465" s="89"/>
      <c r="J465" s="89"/>
    </row>
    <row r="466" spans="1:10" hidden="1">
      <c r="A466" s="89"/>
      <c r="B466" s="89"/>
      <c r="C466" s="89"/>
      <c r="D466" s="89"/>
      <c r="E466" s="89"/>
      <c r="F466" s="89"/>
      <c r="G466" s="89"/>
      <c r="H466" s="89"/>
      <c r="I466" s="89"/>
      <c r="J466" s="89"/>
    </row>
    <row r="467" spans="1:10" hidden="1">
      <c r="A467" s="89"/>
      <c r="B467" s="89"/>
      <c r="C467" s="89"/>
      <c r="D467" s="89"/>
      <c r="E467" s="89"/>
      <c r="F467" s="89"/>
      <c r="G467" s="89"/>
      <c r="H467" s="89"/>
      <c r="I467" s="89"/>
      <c r="J467" s="89"/>
    </row>
    <row r="468" spans="1:10" hidden="1">
      <c r="A468" s="89"/>
      <c r="B468" s="89"/>
      <c r="C468" s="89"/>
      <c r="D468" s="89"/>
      <c r="E468" s="89"/>
      <c r="F468" s="89"/>
      <c r="G468" s="89"/>
      <c r="H468" s="89"/>
      <c r="I468" s="89"/>
      <c r="J468" s="89"/>
    </row>
    <row r="469" spans="1:10" hidden="1">
      <c r="A469" s="89"/>
      <c r="B469" s="89"/>
      <c r="C469" s="89"/>
      <c r="D469" s="89"/>
      <c r="E469" s="89"/>
      <c r="F469" s="89"/>
      <c r="G469" s="89"/>
      <c r="H469" s="89"/>
      <c r="I469" s="89"/>
      <c r="J469" s="89"/>
    </row>
    <row r="470" spans="1:10" hidden="1">
      <c r="A470" s="89"/>
      <c r="B470" s="89"/>
      <c r="C470" s="89"/>
      <c r="D470" s="89"/>
      <c r="E470" s="89"/>
      <c r="F470" s="89"/>
      <c r="G470" s="89"/>
      <c r="H470" s="89"/>
      <c r="I470" s="89"/>
      <c r="J470" s="89"/>
    </row>
    <row r="471" spans="1:10" hidden="1">
      <c r="A471" s="89"/>
      <c r="B471" s="89"/>
      <c r="C471" s="89"/>
      <c r="D471" s="89"/>
      <c r="E471" s="89"/>
      <c r="F471" s="89"/>
      <c r="G471" s="89"/>
      <c r="H471" s="89"/>
      <c r="I471" s="89"/>
      <c r="J471" s="89"/>
    </row>
    <row r="472" spans="1:10" hidden="1">
      <c r="A472" s="89"/>
      <c r="B472" s="89"/>
      <c r="C472" s="89"/>
      <c r="D472" s="89"/>
      <c r="E472" s="89"/>
      <c r="F472" s="89"/>
      <c r="G472" s="89"/>
      <c r="H472" s="89"/>
      <c r="I472" s="89"/>
      <c r="J472" s="89"/>
    </row>
    <row r="473" spans="1:10" hidden="1">
      <c r="A473" s="89"/>
      <c r="B473" s="89"/>
      <c r="C473" s="89"/>
      <c r="D473" s="89"/>
      <c r="E473" s="89"/>
      <c r="F473" s="89"/>
      <c r="G473" s="89"/>
      <c r="H473" s="89"/>
      <c r="I473" s="89"/>
      <c r="J473" s="89"/>
    </row>
    <row r="474" spans="1:10" hidden="1">
      <c r="A474" s="89"/>
      <c r="B474" s="89"/>
      <c r="C474" s="89"/>
      <c r="D474" s="89"/>
      <c r="E474" s="89"/>
      <c r="F474" s="89"/>
      <c r="G474" s="89"/>
      <c r="H474" s="89"/>
      <c r="I474" s="89"/>
      <c r="J474" s="89"/>
    </row>
    <row r="475" spans="1:10" hidden="1">
      <c r="A475" s="89"/>
      <c r="B475" s="89"/>
      <c r="C475" s="89"/>
      <c r="D475" s="89"/>
      <c r="E475" s="89"/>
      <c r="F475" s="89"/>
      <c r="G475" s="89"/>
      <c r="H475" s="89"/>
      <c r="I475" s="89"/>
      <c r="J475" s="89"/>
    </row>
    <row r="476" spans="1:10" hidden="1">
      <c r="A476" s="89"/>
      <c r="B476" s="89"/>
      <c r="C476" s="89"/>
      <c r="D476" s="89"/>
      <c r="E476" s="89"/>
      <c r="F476" s="89"/>
      <c r="G476" s="89"/>
      <c r="H476" s="89"/>
      <c r="I476" s="89"/>
      <c r="J476" s="89"/>
    </row>
    <row r="477" spans="1:10" hidden="1">
      <c r="A477" s="89"/>
      <c r="B477" s="89"/>
      <c r="C477" s="89"/>
      <c r="D477" s="89"/>
      <c r="E477" s="89"/>
      <c r="F477" s="89"/>
      <c r="G477" s="89"/>
      <c r="H477" s="89"/>
      <c r="I477" s="89"/>
      <c r="J477" s="89"/>
    </row>
    <row r="478" spans="1:10" hidden="1">
      <c r="A478" s="89"/>
      <c r="B478" s="89"/>
      <c r="C478" s="89"/>
      <c r="D478" s="89"/>
      <c r="E478" s="89"/>
      <c r="F478" s="89"/>
      <c r="G478" s="89"/>
      <c r="H478" s="89"/>
      <c r="I478" s="89"/>
      <c r="J478" s="89"/>
    </row>
    <row r="479" spans="1:10" hidden="1">
      <c r="A479" s="89"/>
      <c r="B479" s="89"/>
      <c r="C479" s="89"/>
      <c r="D479" s="89"/>
      <c r="E479" s="89"/>
      <c r="F479" s="89"/>
      <c r="G479" s="89"/>
      <c r="H479" s="89"/>
      <c r="I479" s="89"/>
      <c r="J479" s="89"/>
    </row>
    <row r="480" spans="1:10">
      <c r="A480" s="89"/>
      <c r="B480" s="89"/>
      <c r="C480" s="89"/>
      <c r="D480" s="89"/>
      <c r="E480" s="89"/>
      <c r="F480" s="89"/>
      <c r="G480" s="89"/>
      <c r="H480" s="89"/>
      <c r="I480" s="89"/>
      <c r="J480" s="89"/>
    </row>
    <row r="481" spans="1:10">
      <c r="A481" s="404" t="s">
        <v>83</v>
      </c>
      <c r="B481" s="405"/>
      <c r="C481" s="405"/>
      <c r="D481" s="405"/>
      <c r="E481" s="405"/>
      <c r="F481" s="405"/>
      <c r="G481" s="405"/>
      <c r="H481" s="405"/>
      <c r="I481" s="405"/>
      <c r="J481" s="406"/>
    </row>
    <row r="482" spans="1:10" ht="15" customHeight="1">
      <c r="A482" s="90" t="s">
        <v>30</v>
      </c>
      <c r="B482" s="413" t="s">
        <v>53</v>
      </c>
      <c r="C482" s="414"/>
      <c r="D482" s="415"/>
      <c r="E482" s="413" t="s">
        <v>54</v>
      </c>
      <c r="F482" s="414"/>
      <c r="G482" s="415"/>
      <c r="H482" s="413" t="s">
        <v>55</v>
      </c>
      <c r="I482" s="414"/>
      <c r="J482" s="415"/>
    </row>
    <row r="483" spans="1:10">
      <c r="A483" s="92">
        <v>1</v>
      </c>
      <c r="B483" s="93">
        <v>2</v>
      </c>
      <c r="C483" s="93">
        <v>3</v>
      </c>
      <c r="D483" s="93">
        <v>4</v>
      </c>
      <c r="E483" s="93">
        <v>5</v>
      </c>
      <c r="F483" s="93">
        <v>6</v>
      </c>
      <c r="G483" s="93">
        <v>7</v>
      </c>
      <c r="H483" s="106" t="s">
        <v>70</v>
      </c>
      <c r="I483" s="106" t="s">
        <v>71</v>
      </c>
      <c r="J483" s="106" t="s">
        <v>72</v>
      </c>
    </row>
    <row r="484" spans="1:10">
      <c r="A484" s="94"/>
      <c r="B484" s="93" t="s">
        <v>62</v>
      </c>
      <c r="C484" s="93" t="s">
        <v>51</v>
      </c>
      <c r="D484" s="93" t="s">
        <v>31</v>
      </c>
      <c r="E484" s="93" t="s">
        <v>62</v>
      </c>
      <c r="F484" s="93" t="s">
        <v>51</v>
      </c>
      <c r="G484" s="93" t="s">
        <v>31</v>
      </c>
      <c r="H484" s="93" t="s">
        <v>62</v>
      </c>
      <c r="I484" s="93" t="s">
        <v>51</v>
      </c>
      <c r="J484" s="93" t="s">
        <v>31</v>
      </c>
    </row>
    <row r="485" spans="1:10">
      <c r="A485" s="95"/>
      <c r="B485" s="107">
        <v>2024</v>
      </c>
      <c r="C485" s="107">
        <v>2025</v>
      </c>
      <c r="D485" s="107">
        <v>2026</v>
      </c>
      <c r="E485" s="107">
        <v>2024</v>
      </c>
      <c r="F485" s="107">
        <v>2025</v>
      </c>
      <c r="G485" s="107">
        <v>2026</v>
      </c>
      <c r="H485" s="107">
        <v>2024</v>
      </c>
      <c r="I485" s="107">
        <v>2025</v>
      </c>
      <c r="J485" s="107">
        <v>2026</v>
      </c>
    </row>
    <row r="486" spans="1:10">
      <c r="A486" s="97" t="s">
        <v>156</v>
      </c>
      <c r="B486" s="99">
        <f t="shared" ref="B486:G486" ca="1" si="66">IFERROR(B194+B340,"")</f>
        <v>1340794.0930000001</v>
      </c>
      <c r="C486" s="99">
        <f t="shared" ca="1" si="66"/>
        <v>1289039.9132099999</v>
      </c>
      <c r="D486" s="99">
        <f t="shared" ca="1" si="66"/>
        <v>1343696.2895599999</v>
      </c>
      <c r="E486" s="99">
        <f t="shared" ca="1" si="66"/>
        <v>1193977.0490000001</v>
      </c>
      <c r="F486" s="99">
        <f t="shared" ca="1" si="66"/>
        <v>1332282.7831400002</v>
      </c>
      <c r="G486" s="99">
        <f t="shared" ca="1" si="66"/>
        <v>1447809.5419399999</v>
      </c>
      <c r="H486" s="99">
        <f ca="1">IFERROR(B486-E486,"")</f>
        <v>146817.04399999999</v>
      </c>
      <c r="I486" s="99">
        <f ca="1">IFERROR(C486-F486,"")</f>
        <v>-43242.869930000277</v>
      </c>
      <c r="J486" s="99">
        <f ca="1">IFERROR(D486-G486,"")</f>
        <v>-104113.25237999996</v>
      </c>
    </row>
    <row r="487" spans="1:10">
      <c r="A487" s="97" t="s">
        <v>157</v>
      </c>
      <c r="B487" s="99">
        <f t="shared" ref="B487:G497" ca="1" si="67">IFERROR(B195+B341,"")</f>
        <v>1121021.341</v>
      </c>
      <c r="C487" s="99">
        <f t="shared" ca="1" si="67"/>
        <v>1225923.0593699999</v>
      </c>
      <c r="D487" s="99">
        <f t="shared" ca="1" si="67"/>
        <v>1810461.0014899997</v>
      </c>
      <c r="E487" s="99">
        <f t="shared" ca="1" si="67"/>
        <v>1234636.1969999999</v>
      </c>
      <c r="F487" s="99">
        <f t="shared" ca="1" si="67"/>
        <v>1374514.3519099997</v>
      </c>
      <c r="G487" s="99">
        <f t="shared" ca="1" si="67"/>
        <v>1401666.11528</v>
      </c>
      <c r="H487" s="99">
        <f t="shared" ref="H487:H497" ca="1" si="68">IFERROR(B487-E487,"")</f>
        <v>-113614.85599999991</v>
      </c>
      <c r="I487" s="99">
        <f t="shared" ref="I487:I497" ca="1" si="69">IFERROR(C487-F487,"")</f>
        <v>-148591.29253999982</v>
      </c>
      <c r="J487" s="99">
        <f t="shared" ref="J487:J497" ca="1" si="70">IFERROR(D487-G487,"")</f>
        <v>408794.88620999968</v>
      </c>
    </row>
    <row r="488" spans="1:10">
      <c r="A488" s="97" t="s">
        <v>158</v>
      </c>
      <c r="B488" s="99">
        <f t="shared" ca="1" si="67"/>
        <v>1056767.5860000001</v>
      </c>
      <c r="C488" s="99">
        <f t="shared" ca="1" si="67"/>
        <v>940758.0925200003</v>
      </c>
      <c r="D488" s="99">
        <f t="shared" ca="1" si="67"/>
        <v>1015508.2390600003</v>
      </c>
      <c r="E488" s="99">
        <f t="shared" ca="1" si="67"/>
        <v>1132798.622</v>
      </c>
      <c r="F488" s="99">
        <f t="shared" ca="1" si="67"/>
        <v>1417649.8506499997</v>
      </c>
      <c r="G488" s="99">
        <f t="shared" ca="1" si="67"/>
        <v>1445953.0323100004</v>
      </c>
      <c r="H488" s="99">
        <f t="shared" ca="1" si="68"/>
        <v>-76031.035999999847</v>
      </c>
      <c r="I488" s="99">
        <f t="shared" ca="1" si="69"/>
        <v>-476891.75812999939</v>
      </c>
      <c r="J488" s="99">
        <f t="shared" ca="1" si="70"/>
        <v>-430444.7932500001</v>
      </c>
    </row>
    <row r="489" spans="1:10">
      <c r="A489" s="97" t="s">
        <v>159</v>
      </c>
      <c r="B489" s="99">
        <f t="shared" ca="1" si="67"/>
        <v>1246954.0309999995</v>
      </c>
      <c r="C489" s="99">
        <f t="shared" ca="1" si="67"/>
        <v>1222043.2606399998</v>
      </c>
      <c r="D489" s="99">
        <f t="shared" ca="1" si="67"/>
        <v>1246256.7505199995</v>
      </c>
      <c r="E489" s="99">
        <f t="shared" ca="1" si="67"/>
        <v>1438314.5840000003</v>
      </c>
      <c r="F489" s="99">
        <f t="shared" ca="1" si="67"/>
        <v>1473316.11305</v>
      </c>
      <c r="G489" s="99">
        <f t="shared" ca="1" si="67"/>
        <v>1404404.7706200001</v>
      </c>
      <c r="H489" s="99">
        <f t="shared" ca="1" si="68"/>
        <v>-191360.55300000077</v>
      </c>
      <c r="I489" s="99">
        <f t="shared" ca="1" si="69"/>
        <v>-251272.85241000028</v>
      </c>
      <c r="J489" s="99">
        <f t="shared" ca="1" si="70"/>
        <v>-158148.02010000055</v>
      </c>
    </row>
    <row r="490" spans="1:10">
      <c r="A490" s="97" t="s">
        <v>160</v>
      </c>
      <c r="B490" s="99">
        <f t="shared" ca="1" si="67"/>
        <v>1493709.7039999999</v>
      </c>
      <c r="C490" s="99">
        <f t="shared" ca="1" si="67"/>
        <v>1556699.5412199998</v>
      </c>
      <c r="D490" s="99">
        <f t="shared" ca="1" si="67"/>
        <v>1670014.7178500008</v>
      </c>
      <c r="E490" s="99">
        <f t="shared" ca="1" si="67"/>
        <v>1133118.6510000001</v>
      </c>
      <c r="F490" s="99">
        <f t="shared" ca="1" si="67"/>
        <v>1223361.1368699998</v>
      </c>
      <c r="G490" s="99">
        <f t="shared" ca="1" si="67"/>
        <v>1349457.7057399994</v>
      </c>
      <c r="H490" s="99">
        <f t="shared" ca="1" si="68"/>
        <v>360591.05299999984</v>
      </c>
      <c r="I490" s="99">
        <f t="shared" ca="1" si="69"/>
        <v>333338.40434999997</v>
      </c>
      <c r="J490" s="99">
        <f t="shared" ca="1" si="70"/>
        <v>320557.01211000141</v>
      </c>
    </row>
    <row r="491" spans="1:10">
      <c r="A491" s="97" t="s">
        <v>161</v>
      </c>
      <c r="B491" s="99">
        <f t="shared" ca="1" si="67"/>
        <v>1597372.7190000003</v>
      </c>
      <c r="C491" s="99">
        <f t="shared" ca="1" si="67"/>
        <v>1545565.6061999998</v>
      </c>
      <c r="D491" s="99">
        <f t="shared" ca="1" si="67"/>
        <v>1577731.1803499991</v>
      </c>
      <c r="E491" s="99">
        <f t="shared" ca="1" si="67"/>
        <v>1259409.7589999994</v>
      </c>
      <c r="F491" s="99">
        <f t="shared" ca="1" si="67"/>
        <v>1428185.9432100006</v>
      </c>
      <c r="G491" s="99">
        <f t="shared" ca="1" si="67"/>
        <v>1511550.9644799996</v>
      </c>
      <c r="H491" s="99">
        <f t="shared" ca="1" si="68"/>
        <v>337962.96000000089</v>
      </c>
      <c r="I491" s="99">
        <f t="shared" ca="1" si="69"/>
        <v>117379.66298999917</v>
      </c>
      <c r="J491" s="99">
        <f t="shared" ca="1" si="70"/>
        <v>66180.215869999491</v>
      </c>
    </row>
    <row r="492" spans="1:10">
      <c r="A492" s="97" t="s">
        <v>162</v>
      </c>
      <c r="B492" s="99">
        <f t="shared" ca="1" si="67"/>
        <v>1270858.8750000005</v>
      </c>
      <c r="C492" s="99">
        <f t="shared" ca="1" si="67"/>
        <v>1225181.1474300008</v>
      </c>
      <c r="D492" s="99">
        <f t="shared" ca="1" si="67"/>
        <v>1339779.5353400004</v>
      </c>
      <c r="E492" s="99">
        <f t="shared" ca="1" si="67"/>
        <v>1272382.4909999999</v>
      </c>
      <c r="F492" s="99">
        <f t="shared" ca="1" si="67"/>
        <v>1343823.7544200001</v>
      </c>
      <c r="G492" s="99">
        <f t="shared" ca="1" si="67"/>
        <v>1495173.5984700006</v>
      </c>
      <c r="H492" s="99">
        <f t="shared" ca="1" si="68"/>
        <v>-1523.6159999994561</v>
      </c>
      <c r="I492" s="99">
        <f t="shared" ca="1" si="69"/>
        <v>-118642.6069899993</v>
      </c>
      <c r="J492" s="99">
        <f t="shared" ca="1" si="70"/>
        <v>-155394.06313000014</v>
      </c>
    </row>
    <row r="493" spans="1:10">
      <c r="A493" s="97" t="s">
        <v>163</v>
      </c>
      <c r="B493" s="99">
        <f t="shared" ca="1" si="67"/>
        <v>1116827.8289999999</v>
      </c>
      <c r="C493" s="99">
        <f t="shared" ca="1" si="67"/>
        <v>1357630.5680799987</v>
      </c>
      <c r="D493" s="99" t="str">
        <f t="shared" ca="1" si="67"/>
        <v/>
      </c>
      <c r="E493" s="99">
        <f t="shared" ca="1" si="67"/>
        <v>1081909.3200000003</v>
      </c>
      <c r="F493" s="99">
        <f t="shared" ca="1" si="67"/>
        <v>1203038.0075600003</v>
      </c>
      <c r="G493" s="99" t="str">
        <f t="shared" ca="1" si="67"/>
        <v/>
      </c>
      <c r="H493" s="99">
        <f t="shared" ca="1" si="68"/>
        <v>34918.508999999613</v>
      </c>
      <c r="I493" s="99">
        <f t="shared" ca="1" si="69"/>
        <v>154592.56051999843</v>
      </c>
      <c r="J493" s="99" t="str">
        <f t="shared" ca="1" si="70"/>
        <v/>
      </c>
    </row>
    <row r="494" spans="1:10">
      <c r="A494" s="97" t="s">
        <v>164</v>
      </c>
      <c r="B494" s="99">
        <f t="shared" ca="1" si="67"/>
        <v>1053875.9029999995</v>
      </c>
      <c r="C494" s="99">
        <f t="shared" ca="1" si="67"/>
        <v>1080692.2329100003</v>
      </c>
      <c r="D494" s="99" t="str">
        <f t="shared" ca="1" si="67"/>
        <v/>
      </c>
      <c r="E494" s="99">
        <f t="shared" ca="1" si="67"/>
        <v>1116209.4989999998</v>
      </c>
      <c r="F494" s="99">
        <f t="shared" ca="1" si="67"/>
        <v>1362841.4883199995</v>
      </c>
      <c r="G494" s="99" t="str">
        <f t="shared" ca="1" si="67"/>
        <v/>
      </c>
      <c r="H494" s="99">
        <f t="shared" ca="1" si="68"/>
        <v>-62333.596000000369</v>
      </c>
      <c r="I494" s="99">
        <f t="shared" ca="1" si="69"/>
        <v>-282149.25540999928</v>
      </c>
      <c r="J494" s="99" t="str">
        <f t="shared" ca="1" si="70"/>
        <v/>
      </c>
    </row>
    <row r="495" spans="1:10">
      <c r="A495" s="97" t="s">
        <v>165</v>
      </c>
      <c r="B495" s="99">
        <f t="shared" ca="1" si="67"/>
        <v>1079458.1700000009</v>
      </c>
      <c r="C495" s="99">
        <f t="shared" ca="1" si="67"/>
        <v>1147783.0021700007</v>
      </c>
      <c r="D495" s="99" t="str">
        <f t="shared" ca="1" si="67"/>
        <v/>
      </c>
      <c r="E495" s="99">
        <f t="shared" ca="1" si="67"/>
        <v>1380461.3090000008</v>
      </c>
      <c r="F495" s="99">
        <f t="shared" ca="1" si="67"/>
        <v>1451500.1670600013</v>
      </c>
      <c r="G495" s="99" t="str">
        <f t="shared" ca="1" si="67"/>
        <v/>
      </c>
      <c r="H495" s="99">
        <f t="shared" ca="1" si="68"/>
        <v>-301003.13899999997</v>
      </c>
      <c r="I495" s="99">
        <f t="shared" ca="1" si="69"/>
        <v>-303717.1648900006</v>
      </c>
      <c r="J495" s="99" t="str">
        <f t="shared" ca="1" si="70"/>
        <v/>
      </c>
    </row>
    <row r="496" spans="1:10">
      <c r="A496" s="97" t="s">
        <v>166</v>
      </c>
      <c r="B496" s="99">
        <f t="shared" ca="1" si="67"/>
        <v>1022727.3329999992</v>
      </c>
      <c r="C496" s="99">
        <f t="shared" ca="1" si="67"/>
        <v>1094470.9687699992</v>
      </c>
      <c r="D496" s="99" t="str">
        <f t="shared" ca="1" si="67"/>
        <v/>
      </c>
      <c r="E496" s="99">
        <f t="shared" ca="1" si="67"/>
        <v>1261670.5099999998</v>
      </c>
      <c r="F496" s="99">
        <f t="shared" ca="1" si="67"/>
        <v>1290051.8700999995</v>
      </c>
      <c r="G496" s="99" t="str">
        <f t="shared" ca="1" si="67"/>
        <v/>
      </c>
      <c r="H496" s="99">
        <f t="shared" ca="1" si="68"/>
        <v>-238943.17700000061</v>
      </c>
      <c r="I496" s="99">
        <f t="shared" ca="1" si="69"/>
        <v>-195580.90133000026</v>
      </c>
      <c r="J496" s="99" t="str">
        <f t="shared" ca="1" si="70"/>
        <v/>
      </c>
    </row>
    <row r="497" spans="1:10">
      <c r="A497" s="97" t="s">
        <v>167</v>
      </c>
      <c r="B497" s="99">
        <f t="shared" ca="1" si="67"/>
        <v>1252065.7619999992</v>
      </c>
      <c r="C497" s="99">
        <f t="shared" ca="1" si="67"/>
        <v>1619983.9352700012</v>
      </c>
      <c r="D497" s="99" t="str">
        <f t="shared" ca="1" si="67"/>
        <v/>
      </c>
      <c r="E497" s="99">
        <f t="shared" ca="1" si="67"/>
        <v>1893029.737999999</v>
      </c>
      <c r="F497" s="99">
        <f t="shared" ca="1" si="67"/>
        <v>2152145.9652899997</v>
      </c>
      <c r="G497" s="99" t="str">
        <f t="shared" ca="1" si="67"/>
        <v/>
      </c>
      <c r="H497" s="99">
        <f t="shared" ca="1" si="68"/>
        <v>-640963.97599999979</v>
      </c>
      <c r="I497" s="99">
        <f t="shared" ca="1" si="69"/>
        <v>-532162.03001999855</v>
      </c>
      <c r="J497" s="99" t="str">
        <f t="shared" ca="1" si="70"/>
        <v/>
      </c>
    </row>
    <row r="498" spans="1:10">
      <c r="A498" s="108" t="s">
        <v>168</v>
      </c>
      <c r="B498" s="99">
        <f t="shared" ref="B498:G498" ca="1" si="71">SUM(B486:B497)</f>
        <v>14652433.346000001</v>
      </c>
      <c r="C498" s="99">
        <f t="shared" ca="1" si="71"/>
        <v>15305771.32779</v>
      </c>
      <c r="D498" s="99">
        <f t="shared" ca="1" si="71"/>
        <v>10003447.714169998</v>
      </c>
      <c r="E498" s="99">
        <f t="shared" ca="1" si="71"/>
        <v>15397917.728999998</v>
      </c>
      <c r="F498" s="99">
        <f t="shared" ca="1" si="71"/>
        <v>17052711.43158</v>
      </c>
      <c r="G498" s="99">
        <f t="shared" ca="1" si="71"/>
        <v>10056015.728839999</v>
      </c>
      <c r="H498" s="108" t="s">
        <v>61</v>
      </c>
      <c r="I498" s="108" t="s">
        <v>61</v>
      </c>
      <c r="J498" s="108" t="s">
        <v>61</v>
      </c>
    </row>
    <row r="499" spans="1:10">
      <c r="A499" s="89"/>
      <c r="B499" s="89"/>
      <c r="C499" s="89"/>
      <c r="D499" s="89"/>
      <c r="E499" s="89"/>
      <c r="F499" s="89"/>
      <c r="G499" s="89"/>
      <c r="H499" s="89"/>
      <c r="I499" s="89"/>
      <c r="J499" s="89"/>
    </row>
    <row r="500" spans="1:10">
      <c r="A500" s="89"/>
      <c r="B500" s="89"/>
      <c r="C500" s="89"/>
      <c r="D500" s="89"/>
      <c r="E500" s="89"/>
      <c r="F500" s="89"/>
      <c r="G500" s="89"/>
      <c r="H500" s="89"/>
      <c r="I500" s="89"/>
      <c r="J500" s="89"/>
    </row>
    <row r="501" spans="1:10">
      <c r="A501" s="89"/>
      <c r="B501" s="89"/>
      <c r="C501" s="89"/>
      <c r="D501" s="89"/>
      <c r="E501" s="89"/>
      <c r="F501" s="89"/>
      <c r="G501" s="89"/>
      <c r="H501" s="89"/>
      <c r="I501" s="89"/>
      <c r="J501" s="89"/>
    </row>
    <row r="502" spans="1:10">
      <c r="A502" s="89"/>
      <c r="B502" s="89"/>
      <c r="C502" s="89"/>
      <c r="D502" s="89"/>
      <c r="E502" s="89"/>
      <c r="F502" s="89"/>
      <c r="G502" s="89"/>
      <c r="H502" s="89"/>
      <c r="I502" s="89"/>
      <c r="J502" s="89"/>
    </row>
    <row r="503" spans="1:10">
      <c r="A503" s="89"/>
      <c r="B503" s="89"/>
      <c r="C503" s="89"/>
      <c r="D503" s="89"/>
      <c r="E503" s="89"/>
      <c r="F503" s="89"/>
      <c r="G503" s="89"/>
      <c r="H503" s="89"/>
      <c r="I503" s="89"/>
      <c r="J503" s="89"/>
    </row>
    <row r="504" spans="1:10">
      <c r="A504" s="89"/>
      <c r="B504" s="89"/>
      <c r="C504" s="89"/>
      <c r="D504" s="89"/>
      <c r="E504" s="89"/>
      <c r="F504" s="89"/>
      <c r="G504" s="89"/>
      <c r="H504" s="89"/>
      <c r="I504" s="89"/>
      <c r="J504" s="89"/>
    </row>
    <row r="505" spans="1:10">
      <c r="A505" s="89"/>
      <c r="B505" s="89"/>
      <c r="C505" s="89"/>
      <c r="D505" s="89"/>
      <c r="E505" s="89"/>
      <c r="F505" s="89"/>
      <c r="G505" s="89"/>
      <c r="H505" s="89"/>
      <c r="I505" s="89"/>
      <c r="J505" s="89"/>
    </row>
    <row r="506" spans="1:10">
      <c r="A506" s="89"/>
      <c r="B506" s="89"/>
      <c r="C506" s="89"/>
      <c r="D506" s="89"/>
      <c r="E506" s="89"/>
      <c r="F506" s="89"/>
      <c r="G506" s="89"/>
      <c r="H506" s="89"/>
      <c r="I506" s="89"/>
      <c r="J506" s="89"/>
    </row>
    <row r="507" spans="1:10">
      <c r="A507" s="89"/>
      <c r="B507" s="89"/>
      <c r="C507" s="89"/>
      <c r="D507" s="89"/>
      <c r="E507" s="89"/>
      <c r="F507" s="89"/>
      <c r="G507" s="89"/>
      <c r="H507" s="89"/>
      <c r="I507" s="89"/>
      <c r="J507" s="89"/>
    </row>
    <row r="508" spans="1:10">
      <c r="A508" s="89"/>
      <c r="B508" s="89"/>
      <c r="C508" s="89"/>
      <c r="D508" s="89"/>
      <c r="E508" s="89"/>
      <c r="F508" s="89"/>
      <c r="G508" s="89"/>
      <c r="H508" s="89"/>
      <c r="I508" s="89"/>
      <c r="J508" s="89"/>
    </row>
    <row r="509" spans="1:10">
      <c r="A509" s="89"/>
      <c r="B509" s="89"/>
      <c r="C509" s="89"/>
      <c r="D509" s="89"/>
      <c r="E509" s="89"/>
      <c r="F509" s="89"/>
      <c r="G509" s="89"/>
      <c r="H509" s="89"/>
      <c r="I509" s="89"/>
      <c r="J509" s="89"/>
    </row>
    <row r="510" spans="1:10">
      <c r="A510" s="89"/>
      <c r="B510" s="89"/>
      <c r="C510" s="89"/>
      <c r="D510" s="89"/>
      <c r="E510" s="89"/>
      <c r="F510" s="89"/>
      <c r="G510" s="89"/>
      <c r="H510" s="89"/>
      <c r="I510" s="89"/>
      <c r="J510" s="89"/>
    </row>
    <row r="511" spans="1:10">
      <c r="A511" s="89"/>
      <c r="B511" s="89"/>
      <c r="C511" s="89"/>
      <c r="D511" s="89"/>
      <c r="E511" s="89"/>
      <c r="F511" s="89"/>
      <c r="G511" s="89"/>
      <c r="H511" s="89"/>
      <c r="I511" s="89"/>
      <c r="J511" s="89"/>
    </row>
    <row r="512" spans="1:10">
      <c r="A512" s="89"/>
      <c r="B512" s="89"/>
      <c r="C512" s="89"/>
      <c r="D512" s="89"/>
      <c r="E512" s="89"/>
      <c r="F512" s="89"/>
      <c r="G512" s="89"/>
      <c r="H512" s="89"/>
      <c r="I512" s="89"/>
      <c r="J512" s="89"/>
    </row>
    <row r="513" spans="1:10">
      <c r="A513" s="89"/>
      <c r="B513" s="89"/>
      <c r="C513" s="89"/>
      <c r="D513" s="89"/>
      <c r="E513" s="89"/>
      <c r="F513" s="89"/>
      <c r="G513" s="89"/>
      <c r="H513" s="89"/>
      <c r="I513" s="89"/>
      <c r="J513" s="89"/>
    </row>
    <row r="514" spans="1:10">
      <c r="A514" s="89"/>
      <c r="B514" s="89"/>
      <c r="C514" s="89"/>
      <c r="D514" s="89"/>
      <c r="E514" s="89"/>
      <c r="F514" s="89"/>
      <c r="G514" s="89"/>
      <c r="H514" s="89"/>
      <c r="I514" s="89"/>
      <c r="J514" s="89"/>
    </row>
    <row r="515" spans="1:10">
      <c r="A515" s="89"/>
      <c r="B515" s="89"/>
      <c r="C515" s="89"/>
      <c r="D515" s="89"/>
      <c r="E515" s="89"/>
      <c r="F515" s="89"/>
      <c r="G515" s="89"/>
      <c r="H515" s="89"/>
      <c r="I515" s="89"/>
      <c r="J515" s="89"/>
    </row>
    <row r="516" spans="1:10">
      <c r="A516" s="89"/>
      <c r="B516" s="89"/>
      <c r="C516" s="89"/>
      <c r="D516" s="89"/>
      <c r="E516" s="89"/>
      <c r="F516" s="89"/>
      <c r="G516" s="89"/>
      <c r="H516" s="89"/>
      <c r="I516" s="89"/>
      <c r="J516" s="89"/>
    </row>
    <row r="517" spans="1:10">
      <c r="A517" s="89"/>
      <c r="B517" s="89"/>
      <c r="C517" s="89"/>
      <c r="D517" s="89"/>
      <c r="E517" s="89"/>
      <c r="F517" s="89"/>
      <c r="G517" s="89"/>
      <c r="H517" s="89"/>
      <c r="I517" s="89"/>
      <c r="J517" s="89"/>
    </row>
    <row r="518" spans="1:10">
      <c r="A518" s="89"/>
      <c r="B518" s="89"/>
      <c r="C518" s="89"/>
      <c r="D518" s="89"/>
      <c r="E518" s="89"/>
      <c r="F518" s="89"/>
      <c r="G518" s="89"/>
      <c r="H518" s="89"/>
      <c r="I518" s="89"/>
      <c r="J518" s="89"/>
    </row>
    <row r="519" spans="1:10">
      <c r="A519" s="89"/>
      <c r="B519" s="89"/>
      <c r="C519" s="89"/>
      <c r="D519" s="89"/>
      <c r="E519" s="89"/>
      <c r="F519" s="89"/>
      <c r="G519" s="89"/>
      <c r="H519" s="89"/>
      <c r="I519" s="89"/>
      <c r="J519" s="89"/>
    </row>
    <row r="520" spans="1:10">
      <c r="A520" s="89"/>
      <c r="B520" s="89"/>
      <c r="C520" s="89"/>
      <c r="D520" s="89"/>
      <c r="E520" s="89"/>
      <c r="F520" s="89"/>
      <c r="G520" s="89"/>
      <c r="H520" s="89"/>
      <c r="I520" s="89"/>
      <c r="J520" s="89"/>
    </row>
    <row r="521" spans="1:10">
      <c r="A521" s="89"/>
      <c r="B521" s="89"/>
      <c r="C521" s="89"/>
      <c r="D521" s="89"/>
      <c r="E521" s="89"/>
      <c r="F521" s="89"/>
      <c r="G521" s="89"/>
      <c r="H521" s="89"/>
      <c r="I521" s="89"/>
      <c r="J521" s="89"/>
    </row>
    <row r="522" spans="1:10">
      <c r="A522" s="89"/>
      <c r="B522" s="89"/>
      <c r="C522" s="89"/>
      <c r="D522" s="89"/>
      <c r="E522" s="89"/>
      <c r="F522" s="89"/>
      <c r="G522" s="89"/>
      <c r="H522" s="89"/>
      <c r="I522" s="89"/>
      <c r="J522" s="89"/>
    </row>
    <row r="523" spans="1:10">
      <c r="A523" s="89"/>
      <c r="B523" s="89"/>
      <c r="C523" s="89"/>
      <c r="D523" s="89"/>
      <c r="E523" s="89"/>
      <c r="F523" s="89"/>
      <c r="G523" s="89"/>
      <c r="H523" s="89"/>
      <c r="I523" s="89"/>
      <c r="J523" s="89"/>
    </row>
    <row r="524" spans="1:10">
      <c r="A524" s="89"/>
      <c r="B524" s="89"/>
      <c r="C524" s="89"/>
      <c r="D524" s="89"/>
      <c r="E524" s="89"/>
      <c r="F524" s="89"/>
      <c r="G524" s="89"/>
      <c r="H524" s="89"/>
      <c r="I524" s="89"/>
      <c r="J524" s="89"/>
    </row>
    <row r="525" spans="1:10">
      <c r="A525" s="89"/>
      <c r="B525" s="89"/>
      <c r="C525" s="89"/>
      <c r="D525" s="89"/>
      <c r="E525" s="89"/>
      <c r="F525" s="89"/>
      <c r="G525" s="89"/>
      <c r="H525" s="89"/>
      <c r="I525" s="89"/>
      <c r="J525" s="89"/>
    </row>
    <row r="526" spans="1:10">
      <c r="A526" s="89"/>
      <c r="B526" s="89"/>
      <c r="C526" s="89"/>
      <c r="D526" s="89"/>
      <c r="E526" s="89"/>
      <c r="F526" s="89"/>
      <c r="G526" s="89"/>
      <c r="H526" s="89"/>
      <c r="I526" s="89"/>
      <c r="J526" s="89"/>
    </row>
    <row r="527" spans="1:10">
      <c r="A527" s="89"/>
      <c r="B527" s="89"/>
      <c r="C527" s="89"/>
      <c r="D527" s="89"/>
      <c r="E527" s="89"/>
      <c r="F527" s="89"/>
      <c r="G527" s="89"/>
      <c r="H527" s="89"/>
      <c r="I527" s="89"/>
      <c r="J527" s="89"/>
    </row>
    <row r="528" spans="1:10">
      <c r="A528" s="89"/>
      <c r="B528" s="89"/>
      <c r="C528" s="89"/>
      <c r="D528" s="89"/>
      <c r="E528" s="89"/>
      <c r="F528" s="89"/>
      <c r="G528" s="89"/>
      <c r="H528" s="89"/>
      <c r="I528" s="89"/>
      <c r="J528" s="89"/>
    </row>
    <row r="529" spans="1:10">
      <c r="A529" s="89"/>
      <c r="B529" s="89"/>
      <c r="C529" s="89"/>
      <c r="D529" s="89"/>
      <c r="E529" s="89"/>
      <c r="F529" s="89"/>
      <c r="G529" s="89"/>
      <c r="H529" s="89"/>
      <c r="I529" s="89"/>
      <c r="J529" s="89"/>
    </row>
    <row r="530" spans="1:10">
      <c r="A530" s="89"/>
      <c r="B530" s="89"/>
      <c r="C530" s="89"/>
      <c r="D530" s="89"/>
      <c r="E530" s="89"/>
      <c r="F530" s="89"/>
      <c r="G530" s="89"/>
      <c r="H530" s="89"/>
      <c r="I530" s="89"/>
      <c r="J530" s="89"/>
    </row>
    <row r="531" spans="1:10">
      <c r="A531" s="89"/>
      <c r="B531" s="89"/>
      <c r="C531" s="89"/>
      <c r="D531" s="89"/>
      <c r="E531" s="89"/>
      <c r="F531" s="89"/>
      <c r="G531" s="89"/>
      <c r="H531" s="89"/>
      <c r="I531" s="89"/>
      <c r="J531" s="89"/>
    </row>
    <row r="532" spans="1:10">
      <c r="A532" s="89"/>
      <c r="B532" s="89"/>
      <c r="C532" s="89"/>
      <c r="D532" s="89"/>
      <c r="E532" s="89"/>
      <c r="F532" s="89"/>
      <c r="G532" s="89"/>
      <c r="H532" s="89"/>
      <c r="I532" s="89"/>
      <c r="J532" s="89"/>
    </row>
    <row r="533" spans="1:10">
      <c r="A533" s="89"/>
      <c r="B533" s="89"/>
      <c r="C533" s="89"/>
      <c r="D533" s="89"/>
      <c r="E533" s="89"/>
      <c r="F533" s="89"/>
      <c r="G533" s="89"/>
      <c r="H533" s="89"/>
      <c r="I533" s="89"/>
      <c r="J533" s="89"/>
    </row>
    <row r="534" spans="1:10">
      <c r="A534" s="89"/>
      <c r="B534" s="89"/>
      <c r="C534" s="89"/>
      <c r="D534" s="89"/>
      <c r="E534" s="89"/>
      <c r="F534" s="89"/>
      <c r="G534" s="89"/>
      <c r="H534" s="89"/>
      <c r="I534" s="89"/>
      <c r="J534" s="89"/>
    </row>
    <row r="535" spans="1:10">
      <c r="A535" s="89"/>
      <c r="B535" s="89"/>
      <c r="C535" s="89"/>
      <c r="D535" s="89"/>
      <c r="E535" s="89"/>
      <c r="F535" s="89"/>
      <c r="G535" s="89"/>
      <c r="H535" s="89"/>
      <c r="I535" s="89"/>
      <c r="J535" s="89"/>
    </row>
    <row r="536" spans="1:10">
      <c r="A536" s="89"/>
      <c r="B536" s="89"/>
      <c r="C536" s="89"/>
      <c r="D536" s="89"/>
      <c r="E536" s="89"/>
      <c r="F536" s="89"/>
      <c r="G536" s="89"/>
      <c r="H536" s="89"/>
      <c r="I536" s="89"/>
      <c r="J536" s="89"/>
    </row>
    <row r="537" spans="1:10">
      <c r="A537" s="89"/>
      <c r="B537" s="89"/>
      <c r="C537" s="89"/>
      <c r="D537" s="89"/>
      <c r="E537" s="89"/>
      <c r="F537" s="89"/>
      <c r="G537" s="89"/>
      <c r="H537" s="89"/>
      <c r="I537" s="89"/>
      <c r="J537" s="89"/>
    </row>
    <row r="538" spans="1:10">
      <c r="A538" s="89"/>
      <c r="B538" s="89"/>
      <c r="C538" s="89"/>
      <c r="D538" s="89"/>
      <c r="E538" s="89"/>
      <c r="F538" s="89"/>
      <c r="G538" s="89"/>
      <c r="H538" s="89"/>
      <c r="I538" s="89"/>
      <c r="J538" s="89"/>
    </row>
    <row r="539" spans="1:10">
      <c r="A539" s="89"/>
      <c r="B539" s="89"/>
      <c r="C539" s="89"/>
      <c r="D539" s="89"/>
      <c r="E539" s="89"/>
      <c r="F539" s="89"/>
      <c r="G539" s="89"/>
      <c r="H539" s="89"/>
      <c r="I539" s="89"/>
      <c r="J539" s="89"/>
    </row>
    <row r="540" spans="1:10">
      <c r="A540" s="89"/>
      <c r="B540" s="89"/>
      <c r="C540" s="89"/>
      <c r="D540" s="89"/>
      <c r="E540" s="89"/>
      <c r="F540" s="89"/>
      <c r="G540" s="89"/>
      <c r="H540" s="89"/>
      <c r="I540" s="89"/>
      <c r="J540" s="89"/>
    </row>
    <row r="541" spans="1:10">
      <c r="A541" s="89"/>
      <c r="B541" s="89"/>
      <c r="C541" s="89"/>
      <c r="D541" s="89"/>
      <c r="E541" s="89"/>
      <c r="F541" s="89"/>
      <c r="G541" s="89"/>
      <c r="H541" s="89"/>
      <c r="I541" s="89"/>
      <c r="J541" s="89"/>
    </row>
    <row r="542" spans="1:10">
      <c r="A542" s="89"/>
      <c r="B542" s="89"/>
      <c r="C542" s="89"/>
      <c r="D542" s="89"/>
      <c r="E542" s="89"/>
      <c r="F542" s="89"/>
      <c r="G542" s="89"/>
      <c r="H542" s="89"/>
      <c r="I542" s="89"/>
      <c r="J542" s="89"/>
    </row>
    <row r="543" spans="1:10">
      <c r="A543" s="89"/>
      <c r="B543" s="89"/>
      <c r="C543" s="89"/>
      <c r="D543" s="89"/>
      <c r="E543" s="89"/>
      <c r="F543" s="89"/>
      <c r="G543" s="89"/>
      <c r="H543" s="89"/>
      <c r="I543" s="89"/>
      <c r="J543" s="89"/>
    </row>
    <row r="544" spans="1:10">
      <c r="A544" s="89"/>
      <c r="B544" s="89"/>
      <c r="C544" s="89"/>
      <c r="D544" s="89"/>
      <c r="E544" s="89"/>
      <c r="F544" s="89"/>
      <c r="G544" s="89"/>
      <c r="H544" s="89"/>
      <c r="I544" s="89"/>
      <c r="J544" s="89"/>
    </row>
    <row r="545" spans="1:10">
      <c r="A545" s="89"/>
      <c r="B545" s="89"/>
      <c r="C545" s="89"/>
      <c r="D545" s="89"/>
      <c r="E545" s="89"/>
      <c r="F545" s="89"/>
      <c r="G545" s="89"/>
      <c r="H545" s="89"/>
      <c r="I545" s="89"/>
      <c r="J545" s="89"/>
    </row>
    <row r="546" spans="1:10">
      <c r="A546" s="89"/>
      <c r="B546" s="89"/>
      <c r="C546" s="89"/>
      <c r="D546" s="89"/>
      <c r="E546" s="89"/>
      <c r="F546" s="89"/>
      <c r="G546" s="89"/>
      <c r="H546" s="89"/>
      <c r="I546" s="89"/>
      <c r="J546" s="89"/>
    </row>
    <row r="547" spans="1:10">
      <c r="A547" s="89"/>
      <c r="B547" s="89"/>
      <c r="C547" s="89"/>
      <c r="D547" s="89"/>
      <c r="E547" s="89"/>
      <c r="F547" s="89"/>
      <c r="G547" s="89"/>
      <c r="H547" s="89"/>
      <c r="I547" s="89"/>
      <c r="J547" s="89"/>
    </row>
    <row r="548" spans="1:10">
      <c r="A548" s="89"/>
      <c r="B548" s="89"/>
      <c r="C548" s="89"/>
      <c r="D548" s="89"/>
      <c r="E548" s="89"/>
      <c r="F548" s="89"/>
      <c r="G548" s="89"/>
      <c r="H548" s="89"/>
      <c r="I548" s="89"/>
      <c r="J548" s="89"/>
    </row>
    <row r="549" spans="1:10">
      <c r="A549" s="89"/>
      <c r="B549" s="89"/>
      <c r="C549" s="89"/>
      <c r="D549" s="89"/>
      <c r="E549" s="89"/>
      <c r="F549" s="89"/>
      <c r="G549" s="89"/>
      <c r="H549" s="89"/>
      <c r="I549" s="89"/>
      <c r="J549" s="89"/>
    </row>
    <row r="550" spans="1:10">
      <c r="A550" s="89"/>
      <c r="B550" s="89"/>
      <c r="C550" s="89"/>
      <c r="D550" s="89"/>
      <c r="E550" s="89"/>
      <c r="F550" s="89"/>
      <c r="G550" s="89"/>
      <c r="H550" s="89"/>
      <c r="I550" s="89"/>
      <c r="J550" s="89"/>
    </row>
    <row r="551" spans="1:10">
      <c r="A551" s="89"/>
      <c r="B551" s="89"/>
      <c r="C551" s="89"/>
      <c r="D551" s="89"/>
      <c r="E551" s="89"/>
      <c r="F551" s="89"/>
      <c r="G551" s="89"/>
      <c r="H551" s="89"/>
      <c r="I551" s="89"/>
      <c r="J551" s="89"/>
    </row>
    <row r="552" spans="1:10">
      <c r="A552" s="89"/>
      <c r="B552" s="89"/>
      <c r="C552" s="89"/>
      <c r="D552" s="89"/>
      <c r="E552" s="89"/>
      <c r="F552" s="89"/>
      <c r="G552" s="89"/>
      <c r="H552" s="89"/>
      <c r="I552" s="89"/>
      <c r="J552" s="89"/>
    </row>
    <row r="553" spans="1:10" hidden="1">
      <c r="A553" s="404" t="s">
        <v>93</v>
      </c>
      <c r="B553" s="405"/>
      <c r="C553" s="405"/>
      <c r="D553" s="405"/>
      <c r="E553" s="405"/>
      <c r="F553" s="405"/>
      <c r="G553" s="405"/>
      <c r="H553" s="405"/>
      <c r="I553" s="405"/>
      <c r="J553" s="406"/>
    </row>
    <row r="554" spans="1:10" hidden="1">
      <c r="A554" s="90" t="s">
        <v>30</v>
      </c>
      <c r="B554" s="413" t="s">
        <v>56</v>
      </c>
      <c r="C554" s="414"/>
      <c r="D554" s="415"/>
      <c r="E554" s="413" t="s">
        <v>57</v>
      </c>
      <c r="F554" s="414"/>
      <c r="G554" s="415"/>
      <c r="H554" s="413" t="s">
        <v>58</v>
      </c>
      <c r="I554" s="414"/>
      <c r="J554" s="415"/>
    </row>
    <row r="555" spans="1:10" hidden="1">
      <c r="A555" s="92">
        <v>1</v>
      </c>
      <c r="B555" s="93">
        <v>2</v>
      </c>
      <c r="C555" s="93">
        <v>3</v>
      </c>
      <c r="D555" s="93">
        <v>4</v>
      </c>
      <c r="E555" s="93">
        <v>5</v>
      </c>
      <c r="F555" s="93">
        <v>6</v>
      </c>
      <c r="G555" s="93">
        <v>7</v>
      </c>
      <c r="H555" s="106" t="s">
        <v>70</v>
      </c>
      <c r="I555" s="106" t="s">
        <v>71</v>
      </c>
      <c r="J555" s="106" t="s">
        <v>72</v>
      </c>
    </row>
    <row r="556" spans="1:10" hidden="1">
      <c r="A556" s="94"/>
      <c r="B556" s="93" t="s">
        <v>62</v>
      </c>
      <c r="C556" s="93" t="s">
        <v>51</v>
      </c>
      <c r="D556" s="93" t="s">
        <v>31</v>
      </c>
      <c r="E556" s="93" t="s">
        <v>62</v>
      </c>
      <c r="F556" s="93" t="s">
        <v>51</v>
      </c>
      <c r="G556" s="93" t="s">
        <v>31</v>
      </c>
      <c r="H556" s="93" t="s">
        <v>62</v>
      </c>
      <c r="I556" s="93" t="s">
        <v>51</v>
      </c>
      <c r="J556" s="93" t="s">
        <v>31</v>
      </c>
    </row>
    <row r="557" spans="1:10" hidden="1">
      <c r="A557" s="95"/>
      <c r="B557" s="107">
        <v>2024</v>
      </c>
      <c r="C557" s="107">
        <v>2025</v>
      </c>
      <c r="D557" s="107">
        <v>2026</v>
      </c>
      <c r="E557" s="107">
        <v>2024</v>
      </c>
      <c r="F557" s="107">
        <v>2025</v>
      </c>
      <c r="G557" s="107">
        <v>2026</v>
      </c>
      <c r="H557" s="107">
        <v>2024</v>
      </c>
      <c r="I557" s="107">
        <v>2025</v>
      </c>
      <c r="J557" s="107">
        <v>2026</v>
      </c>
    </row>
    <row r="558" spans="1:10" hidden="1">
      <c r="A558" s="97" t="s">
        <v>156</v>
      </c>
      <c r="B558" s="98">
        <f t="shared" ref="B558:G558" ca="1" si="72">IFERROR(B267+B413,"")</f>
        <v>3.2981983782572986</v>
      </c>
      <c r="C558" s="98">
        <f t="shared" ca="1" si="72"/>
        <v>2.9959425020202808</v>
      </c>
      <c r="D558" s="98">
        <f t="shared" ca="1" si="72"/>
        <v>2.9506966939345682</v>
      </c>
      <c r="E558" s="98">
        <f t="shared" ca="1" si="72"/>
        <v>2.9370454324400397</v>
      </c>
      <c r="F558" s="98">
        <f t="shared" ca="1" si="72"/>
        <v>3.0964461021066474</v>
      </c>
      <c r="G558" s="98">
        <f t="shared" ca="1" si="72"/>
        <v>3.1793247194633412</v>
      </c>
      <c r="H558" s="98">
        <f ca="1">IFERROR(B558-E558,"")</f>
        <v>0.36115294581725887</v>
      </c>
      <c r="I558" s="98">
        <f ca="1">IFERROR(C558-F558,"")</f>
        <v>-0.10050360008636661</v>
      </c>
      <c r="J558" s="98">
        <f ca="1">IFERROR(D558-G558,"")</f>
        <v>-0.22862802552877293</v>
      </c>
    </row>
    <row r="559" spans="1:10" hidden="1">
      <c r="A559" s="97" t="s">
        <v>157</v>
      </c>
      <c r="B559" s="98">
        <f t="shared" ref="B559:B569" ca="1" si="73">IFERROR(B268+B414,"")</f>
        <v>2.7575828295941207</v>
      </c>
      <c r="C559" s="98">
        <f t="shared" ref="C559:G569" ca="1" si="74">IFERROR(C268+C414,"")</f>
        <v>2.8492484678982732</v>
      </c>
      <c r="D559" s="98">
        <f t="shared" ca="1" si="74"/>
        <v>3.9756910345739764</v>
      </c>
      <c r="E559" s="98">
        <f t="shared" ca="1" si="74"/>
        <v>3.0370622334500093</v>
      </c>
      <c r="F559" s="98">
        <f t="shared" ca="1" si="74"/>
        <v>3.1945992706070414</v>
      </c>
      <c r="G559" s="98">
        <f t="shared" ca="1" si="74"/>
        <v>3.0779958272498638</v>
      </c>
      <c r="H559" s="98">
        <f t="shared" ref="H559:H569" ca="1" si="75">IFERROR(B559-E559,"")</f>
        <v>-0.27947940385588854</v>
      </c>
      <c r="I559" s="98">
        <f t="shared" ref="I559:I569" ca="1" si="76">IFERROR(C559-F559,"")</f>
        <v>-0.34535080270876817</v>
      </c>
      <c r="J559" s="98">
        <f t="shared" ref="J559:J569" ca="1" si="77">IFERROR(D559-G559,"")</f>
        <v>0.89769520732411268</v>
      </c>
    </row>
    <row r="560" spans="1:10" hidden="1">
      <c r="A560" s="97" t="s">
        <v>158</v>
      </c>
      <c r="B560" s="98">
        <f t="shared" ca="1" si="73"/>
        <v>2.5995260245676524</v>
      </c>
      <c r="C560" s="98">
        <f t="shared" ca="1" si="74"/>
        <v>2.1864777999632321</v>
      </c>
      <c r="D560" s="98">
        <f t="shared" ca="1" si="74"/>
        <v>2.2300104770244342</v>
      </c>
      <c r="E560" s="98">
        <f t="shared" ca="1" si="74"/>
        <v>2.7865535785683857</v>
      </c>
      <c r="F560" s="98">
        <f t="shared" ca="1" si="74"/>
        <v>3.2948533222439629</v>
      </c>
      <c r="G560" s="98">
        <f t="shared" ca="1" si="74"/>
        <v>3.1752479077090339</v>
      </c>
      <c r="H560" s="98">
        <f t="shared" ca="1" si="75"/>
        <v>-0.18702755400073334</v>
      </c>
      <c r="I560" s="98">
        <f t="shared" ca="1" si="76"/>
        <v>-1.1083755222807308</v>
      </c>
      <c r="J560" s="98">
        <f t="shared" ca="1" si="77"/>
        <v>-0.94523743068459964</v>
      </c>
    </row>
    <row r="561" spans="1:10" hidden="1">
      <c r="A561" s="97" t="s">
        <v>159</v>
      </c>
      <c r="B561" s="98">
        <f t="shared" ca="1" si="73"/>
        <v>3.0673626802781566</v>
      </c>
      <c r="C561" s="98">
        <f t="shared" ca="1" si="74"/>
        <v>2.8402311723162095</v>
      </c>
      <c r="D561" s="98">
        <f t="shared" ca="1" si="74"/>
        <v>2.7367238431216911</v>
      </c>
      <c r="E561" s="98">
        <f t="shared" ca="1" si="74"/>
        <v>3.5380875058588304</v>
      </c>
      <c r="F561" s="98">
        <f t="shared" ca="1" si="74"/>
        <v>3.4242309464305345</v>
      </c>
      <c r="G561" s="98">
        <f t="shared" ca="1" si="74"/>
        <v>3.084009791357937</v>
      </c>
      <c r="H561" s="98">
        <f t="shared" ca="1" si="75"/>
        <v>-0.47072482558067374</v>
      </c>
      <c r="I561" s="98">
        <f t="shared" ca="1" si="76"/>
        <v>-0.58399977411432502</v>
      </c>
      <c r="J561" s="98">
        <f t="shared" ca="1" si="77"/>
        <v>-0.34728594823624581</v>
      </c>
    </row>
    <row r="562" spans="1:10" hidden="1">
      <c r="A562" s="97" t="s">
        <v>160</v>
      </c>
      <c r="B562" s="98">
        <f t="shared" ca="1" si="73"/>
        <v>3.6743530934693562</v>
      </c>
      <c r="C562" s="98">
        <f t="shared" ca="1" si="74"/>
        <v>3.6180278598221216</v>
      </c>
      <c r="D562" s="98">
        <f t="shared" ca="1" si="74"/>
        <v>3.6672773044537248</v>
      </c>
      <c r="E562" s="98">
        <f t="shared" ca="1" si="74"/>
        <v>2.7873408128904238</v>
      </c>
      <c r="F562" s="98">
        <f t="shared" ca="1" si="74"/>
        <v>2.843294135199979</v>
      </c>
      <c r="G562" s="98">
        <f t="shared" ca="1" si="74"/>
        <v>2.9633485050668829</v>
      </c>
      <c r="H562" s="98">
        <f t="shared" ca="1" si="75"/>
        <v>0.88701228057893244</v>
      </c>
      <c r="I562" s="98">
        <f t="shared" ca="1" si="76"/>
        <v>0.77473372462214263</v>
      </c>
      <c r="J562" s="98">
        <f t="shared" ca="1" si="77"/>
        <v>0.70392879938684194</v>
      </c>
    </row>
    <row r="563" spans="1:10" hidden="1">
      <c r="A563" s="97" t="s">
        <v>161</v>
      </c>
      <c r="B563" s="98">
        <f t="shared" ca="1" si="73"/>
        <v>3.9293521196011509</v>
      </c>
      <c r="C563" s="98">
        <f t="shared" ca="1" si="74"/>
        <v>3.5921507486486717</v>
      </c>
      <c r="D563" s="98">
        <f t="shared" ca="1" si="74"/>
        <v>3.4646268014185426</v>
      </c>
      <c r="E563" s="98">
        <f t="shared" ca="1" si="74"/>
        <v>3.0980023303960165</v>
      </c>
      <c r="F563" s="98">
        <f t="shared" ca="1" si="74"/>
        <v>3.3193409484084011</v>
      </c>
      <c r="G563" s="98">
        <f t="shared" ca="1" si="74"/>
        <v>3.3192980201390849</v>
      </c>
      <c r="H563" s="98">
        <f t="shared" ca="1" si="75"/>
        <v>0.83134978920513447</v>
      </c>
      <c r="I563" s="98">
        <f t="shared" ca="1" si="76"/>
        <v>0.27280980024027057</v>
      </c>
      <c r="J563" s="98">
        <f t="shared" ca="1" si="77"/>
        <v>0.1453287812794577</v>
      </c>
    </row>
    <row r="564" spans="1:10" hidden="1">
      <c r="A564" s="97" t="s">
        <v>162</v>
      </c>
      <c r="B564" s="98">
        <f t="shared" ca="1" si="73"/>
        <v>3.126165831429343</v>
      </c>
      <c r="C564" s="98">
        <f t="shared" ca="1" si="74"/>
        <v>2.8475241415286847</v>
      </c>
      <c r="D564" s="98">
        <f t="shared" ca="1" si="74"/>
        <v>2.9420956776054306</v>
      </c>
      <c r="E564" s="98">
        <f t="shared" ca="1" si="74"/>
        <v>3.1299137505516903</v>
      </c>
      <c r="F564" s="98">
        <f t="shared" ca="1" si="74"/>
        <v>3.1232692330415501</v>
      </c>
      <c r="G564" s="98">
        <f t="shared" ca="1" si="74"/>
        <v>3.2833340600414616</v>
      </c>
      <c r="H564" s="98">
        <f t="shared" ca="1" si="75"/>
        <v>-3.7479191223472874E-3</v>
      </c>
      <c r="I564" s="98">
        <f t="shared" ca="1" si="76"/>
        <v>-0.27574509151286541</v>
      </c>
      <c r="J564" s="98">
        <f t="shared" ca="1" si="77"/>
        <v>-0.341238382436031</v>
      </c>
    </row>
    <row r="565" spans="1:10" hidden="1">
      <c r="A565" s="97" t="s">
        <v>163</v>
      </c>
      <c r="B565" s="98">
        <f t="shared" ca="1" si="73"/>
        <v>2.7472672751403744</v>
      </c>
      <c r="C565" s="98">
        <f t="shared" ca="1" si="74"/>
        <v>3.1553585573809784</v>
      </c>
      <c r="D565" s="98" t="str">
        <f t="shared" ca="1" si="74"/>
        <v/>
      </c>
      <c r="E565" s="98">
        <f t="shared" ca="1" si="74"/>
        <v>2.661371782046968</v>
      </c>
      <c r="F565" s="98">
        <f t="shared" ca="1" si="74"/>
        <v>2.7960598127791476</v>
      </c>
      <c r="G565" s="98" t="str">
        <f t="shared" ca="1" si="74"/>
        <v/>
      </c>
      <c r="H565" s="98">
        <f t="shared" ca="1" si="75"/>
        <v>8.5895493093406383E-2</v>
      </c>
      <c r="I565" s="98">
        <f t="shared" ca="1" si="76"/>
        <v>0.35929874460183076</v>
      </c>
      <c r="J565" s="98" t="str">
        <f t="shared" ca="1" si="77"/>
        <v/>
      </c>
    </row>
    <row r="566" spans="1:10" hidden="1">
      <c r="A566" s="97" t="s">
        <v>164</v>
      </c>
      <c r="B566" s="98">
        <f t="shared" ca="1" si="73"/>
        <v>2.5924128188704998</v>
      </c>
      <c r="C566" s="98">
        <f t="shared" ca="1" si="74"/>
        <v>2.5117079455791931</v>
      </c>
      <c r="D566" s="98" t="str">
        <f t="shared" ca="1" si="74"/>
        <v/>
      </c>
      <c r="E566" s="98">
        <f t="shared" ca="1" si="74"/>
        <v>2.7457462548630063</v>
      </c>
      <c r="F566" s="98">
        <f t="shared" ca="1" si="74"/>
        <v>3.1674696000738147</v>
      </c>
      <c r="G566" s="98" t="str">
        <f t="shared" ca="1" si="74"/>
        <v/>
      </c>
      <c r="H566" s="98">
        <f t="shared" ca="1" si="75"/>
        <v>-0.15333343599250648</v>
      </c>
      <c r="I566" s="98">
        <f t="shared" ca="1" si="76"/>
        <v>-0.65576165449462165</v>
      </c>
      <c r="J566" s="98" t="str">
        <f t="shared" ca="1" si="77"/>
        <v/>
      </c>
    </row>
    <row r="567" spans="1:10" hidden="1">
      <c r="A567" s="97" t="s">
        <v>165</v>
      </c>
      <c r="B567" s="98">
        <f t="shared" ca="1" si="73"/>
        <v>2.6553422365730803</v>
      </c>
      <c r="C567" s="98">
        <f t="shared" ca="1" si="74"/>
        <v>2.6676380180768984</v>
      </c>
      <c r="D567" s="98" t="str">
        <f t="shared" ca="1" si="74"/>
        <v/>
      </c>
      <c r="E567" s="98">
        <f t="shared" ca="1" si="74"/>
        <v>3.3957751412846884</v>
      </c>
      <c r="F567" s="98">
        <f t="shared" ca="1" si="74"/>
        <v>3.3735270705121727</v>
      </c>
      <c r="G567" s="98" t="str">
        <f t="shared" ca="1" si="74"/>
        <v/>
      </c>
      <c r="H567" s="98">
        <f t="shared" ca="1" si="75"/>
        <v>-0.74043290471160805</v>
      </c>
      <c r="I567" s="98">
        <f t="shared" ca="1" si="76"/>
        <v>-0.70588905243527433</v>
      </c>
      <c r="J567" s="98" t="str">
        <f t="shared" ca="1" si="77"/>
        <v/>
      </c>
    </row>
    <row r="568" spans="1:10" hidden="1">
      <c r="A568" s="97" t="s">
        <v>166</v>
      </c>
      <c r="B568" s="98">
        <f t="shared" ca="1" si="73"/>
        <v>2.5157909396458011</v>
      </c>
      <c r="C568" s="98">
        <f t="shared" ca="1" si="74"/>
        <v>2.5437320124556679</v>
      </c>
      <c r="D568" s="98" t="str">
        <f t="shared" ca="1" si="74"/>
        <v/>
      </c>
      <c r="E568" s="98">
        <f t="shared" ca="1" si="74"/>
        <v>3.1035635163534829</v>
      </c>
      <c r="F568" s="98">
        <f t="shared" ca="1" si="74"/>
        <v>2.9982944576315016</v>
      </c>
      <c r="G568" s="98" t="str">
        <f t="shared" ca="1" si="74"/>
        <v/>
      </c>
      <c r="H568" s="98">
        <f t="shared" ca="1" si="75"/>
        <v>-0.58777257670768179</v>
      </c>
      <c r="I568" s="98">
        <f t="shared" ca="1" si="76"/>
        <v>-0.45456244517583366</v>
      </c>
      <c r="J568" s="98" t="str">
        <f t="shared" ca="1" si="77"/>
        <v/>
      </c>
    </row>
    <row r="569" spans="1:10" hidden="1">
      <c r="A569" s="97" t="s">
        <v>167</v>
      </c>
      <c r="B569" s="98">
        <f t="shared" ca="1" si="73"/>
        <v>3.0799369472609146</v>
      </c>
      <c r="C569" s="98">
        <f t="shared" ca="1" si="74"/>
        <v>3.7651112851730568</v>
      </c>
      <c r="D569" s="98" t="str">
        <f t="shared" ca="1" si="74"/>
        <v/>
      </c>
      <c r="E569" s="98">
        <f t="shared" ca="1" si="74"/>
        <v>4.6566341875019255</v>
      </c>
      <c r="F569" s="98">
        <f t="shared" ca="1" si="74"/>
        <v>5.0019440840334681</v>
      </c>
      <c r="G569" s="98" t="str">
        <f t="shared" ca="1" si="74"/>
        <v/>
      </c>
      <c r="H569" s="98">
        <f t="shared" ca="1" si="75"/>
        <v>-1.5766972402410109</v>
      </c>
      <c r="I569" s="98">
        <f t="shared" ca="1" si="76"/>
        <v>-1.2368327988604113</v>
      </c>
      <c r="J569" s="98" t="str">
        <f t="shared" ca="1" si="77"/>
        <v/>
      </c>
    </row>
    <row r="570" spans="1:10" hidden="1">
      <c r="A570" s="108" t="s">
        <v>168</v>
      </c>
      <c r="B570" s="98">
        <f t="shared" ref="B570:G570" ca="1" si="78">SUM(B558:B569)</f>
        <v>36.043291174687745</v>
      </c>
      <c r="C570" s="98">
        <f t="shared" ca="1" si="78"/>
        <v>35.573150510863265</v>
      </c>
      <c r="D570" s="98">
        <f t="shared" ca="1" si="78"/>
        <v>21.967121832132367</v>
      </c>
      <c r="E570" s="98">
        <f t="shared" ca="1" si="78"/>
        <v>37.877096526205463</v>
      </c>
      <c r="F570" s="98">
        <f t="shared" ca="1" si="78"/>
        <v>39.633328983068225</v>
      </c>
      <c r="G570" s="98">
        <f t="shared" ca="1" si="78"/>
        <v>22.082558831027605</v>
      </c>
      <c r="H570" s="108" t="s">
        <v>61</v>
      </c>
      <c r="I570" s="108" t="s">
        <v>61</v>
      </c>
      <c r="J570" s="108" t="s">
        <v>61</v>
      </c>
    </row>
    <row r="571" spans="1:10" hidden="1">
      <c r="A571" s="89"/>
      <c r="B571" s="89"/>
      <c r="C571" s="89"/>
      <c r="D571" s="89"/>
      <c r="E571" s="89"/>
      <c r="F571" s="89"/>
      <c r="G571" s="89"/>
      <c r="H571" s="89"/>
      <c r="I571" s="89"/>
      <c r="J571" s="89"/>
    </row>
    <row r="572" spans="1:10" hidden="1">
      <c r="A572" s="89"/>
      <c r="B572" s="89"/>
      <c r="C572" s="89"/>
      <c r="D572" s="89"/>
      <c r="E572" s="89"/>
      <c r="F572" s="89"/>
      <c r="G572" s="89"/>
      <c r="H572" s="89"/>
      <c r="I572" s="89"/>
      <c r="J572" s="89"/>
    </row>
    <row r="573" spans="1:10" hidden="1">
      <c r="A573" s="89"/>
      <c r="B573" s="89"/>
      <c r="C573" s="89"/>
      <c r="D573" s="89"/>
      <c r="E573" s="89"/>
      <c r="F573" s="89"/>
      <c r="G573" s="89"/>
      <c r="H573" s="89"/>
      <c r="I573" s="89"/>
      <c r="J573" s="89"/>
    </row>
    <row r="574" spans="1:10" hidden="1">
      <c r="A574" s="89"/>
      <c r="B574" s="89"/>
      <c r="C574" s="89"/>
      <c r="D574" s="89"/>
      <c r="E574" s="89"/>
      <c r="F574" s="89"/>
      <c r="G574" s="89"/>
      <c r="H574" s="89"/>
      <c r="I574" s="89"/>
      <c r="J574" s="89"/>
    </row>
    <row r="575" spans="1:10" hidden="1">
      <c r="A575" s="89"/>
      <c r="B575" s="89"/>
      <c r="C575" s="89"/>
      <c r="D575" s="89"/>
      <c r="E575" s="89"/>
      <c r="F575" s="89"/>
      <c r="G575" s="89"/>
      <c r="H575" s="89"/>
      <c r="I575" s="89"/>
      <c r="J575" s="89"/>
    </row>
    <row r="576" spans="1:10" hidden="1">
      <c r="A576" s="89"/>
      <c r="B576" s="89"/>
      <c r="C576" s="89"/>
      <c r="D576" s="89"/>
      <c r="E576" s="89"/>
      <c r="F576" s="89"/>
      <c r="G576" s="89"/>
      <c r="H576" s="89"/>
      <c r="I576" s="89"/>
      <c r="J576" s="89"/>
    </row>
    <row r="577" spans="1:10" hidden="1">
      <c r="A577" s="89"/>
      <c r="B577" s="89"/>
      <c r="C577" s="89"/>
      <c r="D577" s="89"/>
      <c r="E577" s="89"/>
      <c r="F577" s="89"/>
      <c r="G577" s="89"/>
      <c r="H577" s="89"/>
      <c r="I577" s="89"/>
      <c r="J577" s="89"/>
    </row>
    <row r="578" spans="1:10" hidden="1">
      <c r="A578" s="89"/>
      <c r="B578" s="89"/>
      <c r="C578" s="89"/>
      <c r="D578" s="89"/>
      <c r="E578" s="89"/>
      <c r="F578" s="89"/>
      <c r="G578" s="89"/>
      <c r="H578" s="89"/>
      <c r="I578" s="89"/>
      <c r="J578" s="89"/>
    </row>
    <row r="579" spans="1:10" hidden="1">
      <c r="A579" s="89"/>
      <c r="B579" s="89"/>
      <c r="C579" s="89"/>
      <c r="D579" s="89"/>
      <c r="E579" s="89"/>
      <c r="F579" s="89"/>
      <c r="G579" s="89"/>
      <c r="H579" s="89"/>
      <c r="I579" s="89"/>
      <c r="J579" s="89"/>
    </row>
    <row r="580" spans="1:10" hidden="1">
      <c r="A580" s="89"/>
      <c r="B580" s="89"/>
      <c r="C580" s="89"/>
      <c r="D580" s="89"/>
      <c r="E580" s="89"/>
      <c r="F580" s="89"/>
      <c r="G580" s="89"/>
      <c r="H580" s="89"/>
      <c r="I580" s="89"/>
      <c r="J580" s="89"/>
    </row>
    <row r="581" spans="1:10" hidden="1">
      <c r="A581" s="89"/>
      <c r="B581" s="89"/>
      <c r="C581" s="89"/>
      <c r="D581" s="89"/>
      <c r="E581" s="89"/>
      <c r="F581" s="89"/>
      <c r="G581" s="89"/>
      <c r="H581" s="89"/>
      <c r="I581" s="89"/>
      <c r="J581" s="89"/>
    </row>
    <row r="582" spans="1:10" hidden="1">
      <c r="A582" s="89"/>
      <c r="B582" s="89"/>
      <c r="C582" s="89"/>
      <c r="D582" s="89"/>
      <c r="E582" s="89"/>
      <c r="F582" s="89"/>
      <c r="G582" s="89"/>
      <c r="H582" s="89"/>
      <c r="I582" s="89"/>
      <c r="J582" s="89"/>
    </row>
    <row r="583" spans="1:10" hidden="1">
      <c r="A583" s="89"/>
      <c r="B583" s="89"/>
      <c r="C583" s="89"/>
      <c r="D583" s="89"/>
      <c r="E583" s="89"/>
      <c r="F583" s="89"/>
      <c r="G583" s="89"/>
      <c r="H583" s="89"/>
      <c r="I583" s="89"/>
      <c r="J583" s="89"/>
    </row>
    <row r="584" spans="1:10" hidden="1">
      <c r="A584" s="89"/>
      <c r="B584" s="89"/>
      <c r="C584" s="89"/>
      <c r="D584" s="89"/>
      <c r="E584" s="89"/>
      <c r="F584" s="89"/>
      <c r="G584" s="89"/>
      <c r="H584" s="89"/>
      <c r="I584" s="89"/>
      <c r="J584" s="89"/>
    </row>
    <row r="585" spans="1:10" hidden="1">
      <c r="A585" s="89"/>
      <c r="B585" s="89"/>
      <c r="C585" s="89"/>
      <c r="D585" s="89"/>
      <c r="E585" s="89"/>
      <c r="F585" s="89"/>
      <c r="G585" s="89"/>
      <c r="H585" s="89"/>
      <c r="I585" s="89"/>
      <c r="J585" s="89"/>
    </row>
    <row r="586" spans="1:10" hidden="1">
      <c r="A586" s="89"/>
      <c r="B586" s="89"/>
      <c r="C586" s="89"/>
      <c r="D586" s="89"/>
      <c r="E586" s="89"/>
      <c r="F586" s="89"/>
      <c r="G586" s="89"/>
      <c r="H586" s="89"/>
      <c r="I586" s="89"/>
      <c r="J586" s="89"/>
    </row>
    <row r="587" spans="1:10" hidden="1">
      <c r="A587" s="89"/>
      <c r="B587" s="89"/>
      <c r="C587" s="89"/>
      <c r="D587" s="89"/>
      <c r="E587" s="89"/>
      <c r="F587" s="89"/>
      <c r="G587" s="89"/>
      <c r="H587" s="89"/>
      <c r="I587" s="89"/>
      <c r="J587" s="89"/>
    </row>
    <row r="588" spans="1:10" hidden="1">
      <c r="A588" s="89"/>
      <c r="B588" s="89"/>
      <c r="C588" s="89"/>
      <c r="D588" s="89"/>
      <c r="E588" s="89"/>
      <c r="F588" s="89"/>
      <c r="G588" s="89"/>
      <c r="H588" s="89"/>
      <c r="I588" s="89"/>
      <c r="J588" s="89"/>
    </row>
    <row r="589" spans="1:10" hidden="1">
      <c r="A589" s="89"/>
      <c r="B589" s="89"/>
      <c r="C589" s="89"/>
      <c r="D589" s="89"/>
      <c r="E589" s="89"/>
      <c r="F589" s="89"/>
      <c r="G589" s="89"/>
      <c r="H589" s="89"/>
      <c r="I589" s="89"/>
      <c r="J589" s="89"/>
    </row>
    <row r="590" spans="1:10" hidden="1">
      <c r="A590" s="89"/>
      <c r="B590" s="89"/>
      <c r="C590" s="89"/>
      <c r="D590" s="89"/>
      <c r="E590" s="89"/>
      <c r="F590" s="89"/>
      <c r="G590" s="89"/>
      <c r="H590" s="89"/>
      <c r="I590" s="89"/>
      <c r="J590" s="89"/>
    </row>
    <row r="591" spans="1:10" hidden="1">
      <c r="A591" s="89"/>
      <c r="B591" s="89"/>
      <c r="C591" s="89"/>
      <c r="D591" s="89"/>
      <c r="E591" s="89"/>
      <c r="F591" s="89"/>
      <c r="G591" s="89"/>
      <c r="H591" s="89"/>
      <c r="I591" s="89"/>
      <c r="J591" s="89"/>
    </row>
    <row r="592" spans="1:10" hidden="1">
      <c r="A592" s="89"/>
      <c r="B592" s="89"/>
      <c r="C592" s="89"/>
      <c r="D592" s="89"/>
      <c r="E592" s="89"/>
      <c r="F592" s="89"/>
      <c r="G592" s="89"/>
      <c r="H592" s="89"/>
      <c r="I592" s="89"/>
      <c r="J592" s="89"/>
    </row>
    <row r="593" spans="1:10" hidden="1">
      <c r="A593" s="89"/>
      <c r="B593" s="89"/>
      <c r="C593" s="89"/>
      <c r="D593" s="89"/>
      <c r="E593" s="89"/>
      <c r="F593" s="89"/>
      <c r="G593" s="89"/>
      <c r="H593" s="89"/>
      <c r="I593" s="89"/>
      <c r="J593" s="89"/>
    </row>
    <row r="594" spans="1:10" hidden="1">
      <c r="A594" s="89"/>
      <c r="B594" s="89"/>
      <c r="C594" s="89"/>
      <c r="D594" s="89"/>
      <c r="E594" s="89"/>
      <c r="F594" s="89"/>
      <c r="G594" s="89"/>
      <c r="H594" s="89"/>
      <c r="I594" s="89"/>
      <c r="J594" s="89"/>
    </row>
    <row r="595" spans="1:10" hidden="1">
      <c r="A595" s="89"/>
      <c r="B595" s="89"/>
      <c r="C595" s="89"/>
      <c r="D595" s="89"/>
      <c r="E595" s="89"/>
      <c r="F595" s="89"/>
      <c r="G595" s="89"/>
      <c r="H595" s="89"/>
      <c r="I595" s="89"/>
      <c r="J595" s="89"/>
    </row>
    <row r="596" spans="1:10" hidden="1">
      <c r="A596" s="89"/>
      <c r="B596" s="89"/>
      <c r="C596" s="89"/>
      <c r="D596" s="89"/>
      <c r="E596" s="89"/>
      <c r="F596" s="89"/>
      <c r="G596" s="89"/>
      <c r="H596" s="89"/>
      <c r="I596" s="89"/>
      <c r="J596" s="89"/>
    </row>
    <row r="597" spans="1:10" hidden="1">
      <c r="A597" s="89"/>
      <c r="B597" s="89"/>
      <c r="C597" s="89"/>
      <c r="D597" s="89"/>
      <c r="E597" s="89"/>
      <c r="F597" s="89"/>
      <c r="G597" s="89"/>
      <c r="H597" s="89"/>
      <c r="I597" s="89"/>
      <c r="J597" s="89"/>
    </row>
    <row r="598" spans="1:10" hidden="1">
      <c r="A598" s="89"/>
      <c r="B598" s="89"/>
      <c r="C598" s="89"/>
      <c r="D598" s="89"/>
      <c r="E598" s="89"/>
      <c r="F598" s="89"/>
      <c r="G598" s="89"/>
      <c r="H598" s="89"/>
      <c r="I598" s="89"/>
      <c r="J598" s="89"/>
    </row>
    <row r="599" spans="1:10" hidden="1">
      <c r="A599" s="89"/>
      <c r="B599" s="89"/>
      <c r="C599" s="89"/>
      <c r="D599" s="89"/>
      <c r="E599" s="89"/>
      <c r="F599" s="89"/>
      <c r="G599" s="89"/>
      <c r="H599" s="89"/>
      <c r="I599" s="89"/>
      <c r="J599" s="89"/>
    </row>
    <row r="600" spans="1:10" hidden="1">
      <c r="A600" s="89"/>
      <c r="B600" s="89"/>
      <c r="C600" s="89"/>
      <c r="D600" s="89"/>
      <c r="E600" s="89"/>
      <c r="F600" s="89"/>
      <c r="G600" s="89"/>
      <c r="H600" s="89"/>
      <c r="I600" s="89"/>
      <c r="J600" s="89"/>
    </row>
    <row r="601" spans="1:10" hidden="1">
      <c r="A601" s="89"/>
      <c r="B601" s="89"/>
      <c r="C601" s="89"/>
      <c r="D601" s="89"/>
      <c r="E601" s="89"/>
      <c r="F601" s="89"/>
      <c r="G601" s="89"/>
      <c r="H601" s="89"/>
      <c r="I601" s="89"/>
      <c r="J601" s="89"/>
    </row>
    <row r="602" spans="1:10" hidden="1">
      <c r="A602" s="89"/>
      <c r="B602" s="89"/>
      <c r="C602" s="89"/>
      <c r="D602" s="89"/>
      <c r="E602" s="89"/>
      <c r="F602" s="89"/>
      <c r="G602" s="89"/>
      <c r="H602" s="89"/>
      <c r="I602" s="89"/>
      <c r="J602" s="89"/>
    </row>
    <row r="603" spans="1:10" hidden="1">
      <c r="A603" s="89"/>
      <c r="B603" s="89"/>
      <c r="C603" s="89"/>
      <c r="D603" s="89"/>
      <c r="E603" s="89"/>
      <c r="F603" s="89"/>
      <c r="G603" s="89"/>
      <c r="H603" s="89"/>
      <c r="I603" s="89"/>
      <c r="J603" s="89"/>
    </row>
    <row r="604" spans="1:10" hidden="1">
      <c r="A604" s="89"/>
      <c r="B604" s="89"/>
      <c r="C604" s="89"/>
      <c r="D604" s="89"/>
      <c r="E604" s="89"/>
      <c r="F604" s="89"/>
      <c r="G604" s="89"/>
      <c r="H604" s="89"/>
      <c r="I604" s="89"/>
      <c r="J604" s="89"/>
    </row>
    <row r="605" spans="1:10" hidden="1">
      <c r="A605" s="89"/>
      <c r="B605" s="89"/>
      <c r="C605" s="89"/>
      <c r="D605" s="89"/>
      <c r="E605" s="89"/>
      <c r="F605" s="89"/>
      <c r="G605" s="89"/>
      <c r="H605" s="89"/>
      <c r="I605" s="89"/>
      <c r="J605" s="89"/>
    </row>
    <row r="606" spans="1:10" hidden="1">
      <c r="A606" s="89"/>
      <c r="B606" s="89"/>
      <c r="C606" s="89"/>
      <c r="D606" s="89"/>
      <c r="E606" s="89"/>
      <c r="F606" s="89"/>
      <c r="G606" s="89"/>
      <c r="H606" s="89"/>
      <c r="I606" s="89"/>
      <c r="J606" s="89"/>
    </row>
    <row r="607" spans="1:10" hidden="1">
      <c r="A607" s="89"/>
      <c r="B607" s="89"/>
      <c r="C607" s="89"/>
      <c r="D607" s="89"/>
      <c r="E607" s="89"/>
      <c r="F607" s="89"/>
      <c r="G607" s="89"/>
      <c r="H607" s="89"/>
      <c r="I607" s="89"/>
      <c r="J607" s="89"/>
    </row>
    <row r="608" spans="1:10" hidden="1">
      <c r="A608" s="89"/>
      <c r="B608" s="89"/>
      <c r="C608" s="89"/>
      <c r="D608" s="89"/>
      <c r="E608" s="89"/>
      <c r="F608" s="89"/>
      <c r="G608" s="89"/>
      <c r="H608" s="89"/>
      <c r="I608" s="89"/>
      <c r="J608" s="89"/>
    </row>
    <row r="609" spans="1:10" hidden="1">
      <c r="A609" s="89"/>
      <c r="B609" s="89"/>
      <c r="C609" s="89"/>
      <c r="D609" s="89"/>
      <c r="E609" s="89"/>
      <c r="F609" s="89"/>
      <c r="G609" s="89"/>
      <c r="H609" s="89"/>
      <c r="I609" s="89"/>
      <c r="J609" s="89"/>
    </row>
    <row r="610" spans="1:10" hidden="1">
      <c r="A610" s="89"/>
      <c r="B610" s="89"/>
      <c r="C610" s="89"/>
      <c r="D610" s="89"/>
      <c r="E610" s="89"/>
      <c r="F610" s="89"/>
      <c r="G610" s="89"/>
      <c r="H610" s="89"/>
      <c r="I610" s="89"/>
      <c r="J610" s="89"/>
    </row>
    <row r="611" spans="1:10" hidden="1">
      <c r="A611" s="89"/>
      <c r="B611" s="89"/>
      <c r="C611" s="89"/>
      <c r="D611" s="89"/>
      <c r="E611" s="89"/>
      <c r="F611" s="89"/>
      <c r="G611" s="89"/>
      <c r="H611" s="89"/>
      <c r="I611" s="89"/>
      <c r="J611" s="89"/>
    </row>
    <row r="612" spans="1:10" hidden="1">
      <c r="A612" s="89"/>
      <c r="B612" s="89"/>
      <c r="C612" s="89"/>
      <c r="D612" s="89"/>
      <c r="E612" s="89"/>
      <c r="F612" s="89"/>
      <c r="G612" s="89"/>
      <c r="H612" s="89"/>
      <c r="I612" s="89"/>
      <c r="J612" s="89"/>
    </row>
    <row r="613" spans="1:10" hidden="1">
      <c r="A613" s="89"/>
      <c r="B613" s="89"/>
      <c r="C613" s="89"/>
      <c r="D613" s="89"/>
      <c r="E613" s="89"/>
      <c r="F613" s="89"/>
      <c r="G613" s="89"/>
      <c r="H613" s="89"/>
      <c r="I613" s="89"/>
      <c r="J613" s="89"/>
    </row>
    <row r="614" spans="1:10" hidden="1">
      <c r="A614" s="89"/>
      <c r="B614" s="89"/>
      <c r="C614" s="89"/>
      <c r="D614" s="89"/>
      <c r="E614" s="89"/>
      <c r="F614" s="89"/>
      <c r="G614" s="89"/>
      <c r="H614" s="89"/>
      <c r="I614" s="89"/>
      <c r="J614" s="89"/>
    </row>
    <row r="615" spans="1:10" hidden="1">
      <c r="A615" s="89"/>
      <c r="B615" s="89"/>
      <c r="C615" s="89"/>
      <c r="D615" s="89"/>
      <c r="E615" s="89"/>
      <c r="F615" s="89"/>
      <c r="G615" s="89"/>
      <c r="H615" s="89"/>
      <c r="I615" s="89"/>
      <c r="J615" s="89"/>
    </row>
    <row r="616" spans="1:10" hidden="1">
      <c r="A616" s="89"/>
      <c r="B616" s="89"/>
      <c r="C616" s="89"/>
      <c r="D616" s="89"/>
      <c r="E616" s="89"/>
      <c r="F616" s="89"/>
      <c r="G616" s="89"/>
      <c r="H616" s="89"/>
      <c r="I616" s="89"/>
      <c r="J616" s="89"/>
    </row>
    <row r="617" spans="1:10" hidden="1">
      <c r="A617" s="89"/>
      <c r="B617" s="89"/>
      <c r="C617" s="89"/>
      <c r="D617" s="89"/>
      <c r="E617" s="89"/>
      <c r="F617" s="89"/>
      <c r="G617" s="89"/>
      <c r="H617" s="89"/>
      <c r="I617" s="89"/>
      <c r="J617" s="89"/>
    </row>
    <row r="618" spans="1:10" hidden="1">
      <c r="A618" s="89"/>
      <c r="B618" s="89"/>
      <c r="C618" s="89"/>
      <c r="D618" s="89"/>
      <c r="E618" s="89"/>
      <c r="F618" s="89"/>
      <c r="G618" s="89"/>
      <c r="H618" s="89"/>
      <c r="I618" s="89"/>
      <c r="J618" s="89"/>
    </row>
    <row r="619" spans="1:10" hidden="1">
      <c r="A619" s="89"/>
      <c r="B619" s="89"/>
      <c r="C619" s="89"/>
      <c r="D619" s="89"/>
      <c r="E619" s="89"/>
      <c r="F619" s="89"/>
      <c r="G619" s="89"/>
      <c r="H619" s="89"/>
      <c r="I619" s="89"/>
      <c r="J619" s="89"/>
    </row>
    <row r="620" spans="1:10" hidden="1">
      <c r="A620" s="89"/>
      <c r="B620" s="89"/>
      <c r="C620" s="89"/>
      <c r="D620" s="89"/>
      <c r="E620" s="89"/>
      <c r="F620" s="89"/>
      <c r="G620" s="89"/>
      <c r="H620" s="89"/>
      <c r="I620" s="89"/>
      <c r="J620" s="89"/>
    </row>
    <row r="621" spans="1:10" hidden="1">
      <c r="A621" s="89"/>
      <c r="B621" s="89"/>
      <c r="C621" s="89"/>
      <c r="D621" s="89"/>
      <c r="E621" s="89"/>
      <c r="F621" s="89"/>
      <c r="G621" s="89"/>
      <c r="H621" s="89"/>
      <c r="I621" s="89"/>
      <c r="J621" s="89"/>
    </row>
    <row r="622" spans="1:10" hidden="1">
      <c r="A622" s="89"/>
      <c r="B622" s="89"/>
      <c r="C622" s="89"/>
      <c r="D622" s="89"/>
      <c r="E622" s="89"/>
      <c r="F622" s="89"/>
      <c r="G622" s="89"/>
      <c r="H622" s="89"/>
      <c r="I622" s="89"/>
      <c r="J622" s="89"/>
    </row>
    <row r="623" spans="1:10" hidden="1">
      <c r="A623" s="89"/>
      <c r="B623" s="89"/>
      <c r="C623" s="89"/>
      <c r="D623" s="89"/>
      <c r="E623" s="89"/>
      <c r="F623" s="89"/>
      <c r="G623" s="89"/>
      <c r="H623" s="89"/>
      <c r="I623" s="89"/>
      <c r="J623" s="89"/>
    </row>
    <row r="624" spans="1:10" hidden="1">
      <c r="A624" s="89"/>
      <c r="B624" s="89"/>
      <c r="C624" s="89"/>
      <c r="D624" s="89"/>
      <c r="E624" s="89"/>
      <c r="F624" s="89"/>
      <c r="G624" s="89"/>
      <c r="H624" s="89"/>
      <c r="I624" s="89"/>
      <c r="J624" s="89"/>
    </row>
    <row r="625" spans="1:10">
      <c r="A625" s="89"/>
      <c r="B625" s="89"/>
      <c r="C625" s="89"/>
      <c r="D625" s="89"/>
      <c r="E625" s="89"/>
      <c r="F625" s="89"/>
      <c r="G625" s="89"/>
      <c r="H625" s="89"/>
      <c r="I625" s="89"/>
      <c r="J625" s="89"/>
    </row>
    <row r="626" spans="1:10">
      <c r="A626" s="89"/>
      <c r="B626" s="89"/>
      <c r="C626" s="89"/>
      <c r="D626" s="89"/>
      <c r="E626" s="89"/>
      <c r="F626" s="89"/>
      <c r="G626" s="89"/>
      <c r="H626" s="89"/>
      <c r="I626" s="89"/>
      <c r="J626" s="89"/>
    </row>
    <row r="627" spans="1:10" ht="15" customHeight="1">
      <c r="A627" s="404" t="s">
        <v>65</v>
      </c>
      <c r="B627" s="405"/>
      <c r="C627" s="405"/>
      <c r="D627" s="405"/>
      <c r="E627" s="405"/>
      <c r="F627" s="405"/>
      <c r="G627" s="405"/>
      <c r="H627" s="405"/>
      <c r="I627" s="405"/>
      <c r="J627" s="406"/>
    </row>
    <row r="628" spans="1:10">
      <c r="A628" s="90" t="s">
        <v>30</v>
      </c>
      <c r="B628" s="102"/>
      <c r="C628" s="103" t="s">
        <v>53</v>
      </c>
      <c r="D628" s="104"/>
      <c r="E628" s="105"/>
      <c r="F628" s="103" t="s">
        <v>54</v>
      </c>
      <c r="G628" s="104"/>
      <c r="H628" s="105"/>
      <c r="I628" s="103" t="s">
        <v>55</v>
      </c>
      <c r="J628" s="104"/>
    </row>
    <row r="629" spans="1:10">
      <c r="A629" s="92">
        <v>1</v>
      </c>
      <c r="B629" s="93">
        <v>2</v>
      </c>
      <c r="C629" s="93">
        <v>3</v>
      </c>
      <c r="D629" s="93">
        <v>4</v>
      </c>
      <c r="E629" s="93">
        <v>5</v>
      </c>
      <c r="F629" s="93">
        <v>6</v>
      </c>
      <c r="G629" s="93">
        <v>7</v>
      </c>
      <c r="H629" s="106" t="s">
        <v>70</v>
      </c>
      <c r="I629" s="106" t="s">
        <v>71</v>
      </c>
      <c r="J629" s="106" t="s">
        <v>72</v>
      </c>
    </row>
    <row r="630" spans="1:10">
      <c r="A630" s="94"/>
      <c r="B630" s="93" t="s">
        <v>62</v>
      </c>
      <c r="C630" s="93" t="s">
        <v>51</v>
      </c>
      <c r="D630" s="93" t="s">
        <v>31</v>
      </c>
      <c r="E630" s="93" t="s">
        <v>62</v>
      </c>
      <c r="F630" s="93" t="s">
        <v>51</v>
      </c>
      <c r="G630" s="93" t="s">
        <v>31</v>
      </c>
      <c r="H630" s="93" t="s">
        <v>62</v>
      </c>
      <c r="I630" s="93" t="s">
        <v>51</v>
      </c>
      <c r="J630" s="93" t="s">
        <v>31</v>
      </c>
    </row>
    <row r="631" spans="1:10">
      <c r="A631" s="95"/>
      <c r="B631" s="107">
        <v>2024</v>
      </c>
      <c r="C631" s="107">
        <v>2025</v>
      </c>
      <c r="D631" s="107">
        <v>2026</v>
      </c>
      <c r="E631" s="107">
        <v>2024</v>
      </c>
      <c r="F631" s="107">
        <v>2025</v>
      </c>
      <c r="G631" s="107">
        <v>2026</v>
      </c>
      <c r="H631" s="107">
        <v>2024</v>
      </c>
      <c r="I631" s="107">
        <v>2025</v>
      </c>
      <c r="J631" s="107">
        <v>2026</v>
      </c>
    </row>
    <row r="632" spans="1:10">
      <c r="A632" s="97" t="s">
        <v>156</v>
      </c>
      <c r="B632" s="99">
        <f ca="1">IF(INDIRECT(ADDRESS(ROW('3'!BU$33),COLUMN('3'!BU$6)+ROW(A1)+$B$795,1,1,"3"))="","",INDIRECT(ADDRESS(ROW('3'!BU$33),COLUMN('3'!BU$6)+ROW(A1)+$B$795,1,1,"3")))</f>
        <v>330116.00300000003</v>
      </c>
      <c r="C632" s="99">
        <f ca="1">IF(INDIRECT(ADDRESS(ROW('3'!BU$33),COLUMN('3'!BU$6)+ROW(A1)+$C$795,1,1,"3"))="","",INDIRECT(ADDRESS(ROW('3'!BU$33),COLUMN('3'!BU$6)+ROW(A1)+$C$795,1,1,"3")))</f>
        <v>334083.38199999998</v>
      </c>
      <c r="D632" s="99">
        <f ca="1">IF(INDIRECT(ADDRESS(ROW('3'!BU$33),COLUMN('3'!BU$6)+ROW(A1)+$D$795,1,1,"3"))="","",INDIRECT(ADDRESS(ROW('3'!BU$33),COLUMN('3'!BU$6)+ROW(A1)+$D$795,1,1,"3")))</f>
        <v>326812.48599999998</v>
      </c>
      <c r="E632" s="99">
        <f ca="1">IF(INDIRECT(ADDRESS(ROW('3'!BU$34),COLUMN('3'!BU$6)+ROW(A1)+$B$795,1,1,"3"))="","",INDIRECT(ADDRESS(ROW('3'!BU$34),COLUMN('3'!BU$6)+ROW(A1)+$B$795,1,1,"3")))</f>
        <v>243159.27299999999</v>
      </c>
      <c r="F632" s="99">
        <f ca="1">IF(INDIRECT(ADDRESS(ROW('3'!BU$34),COLUMN('3'!BU$6)+ROW(A1)+$C$795,1,1,"3"))="","",INDIRECT(ADDRESS(ROW('3'!BU$34),COLUMN('3'!BU$6)+ROW(A1)+$C$795,1,1,"3")))</f>
        <v>265006.16800000001</v>
      </c>
      <c r="G632" s="99">
        <f ca="1">IF(INDIRECT(ADDRESS(ROW('3'!BU$34),COLUMN('3'!BU$6)+ROW(A1)+$D$795,1,1,"3"))="","",INDIRECT(ADDRESS(ROW('3'!BU$34),COLUMN('3'!BU$6)+ROW(A1)+$D$795,1,1,"3")))</f>
        <v>275801.37800000003</v>
      </c>
      <c r="H632" s="99">
        <f ca="1">IFERROR(B632-E632,"")</f>
        <v>86956.73000000004</v>
      </c>
      <c r="I632" s="99">
        <f ca="1">IFERROR(C632-F632,"")</f>
        <v>69077.213999999978</v>
      </c>
      <c r="J632" s="99">
        <f ca="1">IFERROR(D632-G632,"")</f>
        <v>51011.107999999949</v>
      </c>
    </row>
    <row r="633" spans="1:10">
      <c r="A633" s="97" t="s">
        <v>157</v>
      </c>
      <c r="B633" s="99">
        <f ca="1">IF(INDIRECT(ADDRESS(ROW('3'!BU$33),COLUMN('3'!BU$6)+ROW(A2)+$B$795,1,1,"3"))="","",INDIRECT(ADDRESS(ROW('3'!BU$33),COLUMN('3'!BU$6)+ROW(A2)+$B$795,1,1,"3")))</f>
        <v>323221.28700000001</v>
      </c>
      <c r="C633" s="99">
        <f ca="1">IF(INDIRECT(ADDRESS(ROW('3'!BU$33),COLUMN('3'!BU$6)+ROW(A2)+$C$795,1,1,"3"))="","",INDIRECT(ADDRESS(ROW('3'!BU$33),COLUMN('3'!BU$6)+ROW(A2)+$C$795,1,1,"3")))</f>
        <v>321429.95799999998</v>
      </c>
      <c r="D633" s="99">
        <f ca="1">IF(INDIRECT(ADDRESS(ROW('3'!BU$33),COLUMN('3'!BU$6)+ROW(A2)+$D$795,1,1,"3"))="","",INDIRECT(ADDRESS(ROW('3'!BU$33),COLUMN('3'!BU$6)+ROW(A2)+$D$795,1,1,"3")))</f>
        <v>360121.51400000002</v>
      </c>
      <c r="E633" s="99">
        <f ca="1">IF(INDIRECT(ADDRESS(ROW('3'!BU$34),COLUMN('3'!BU$6)+ROW(A2)+$B$795,1,1,"3"))="","",INDIRECT(ADDRESS(ROW('3'!BU$34),COLUMN('3'!BU$6)+ROW(A2)+$B$795,1,1,"3")))</f>
        <v>282000.26000000007</v>
      </c>
      <c r="F633" s="99">
        <f ca="1">IF(INDIRECT(ADDRESS(ROW('3'!BU$34),COLUMN('3'!BU$6)+ROW(A2)+$C$795,1,1,"3"))="","",INDIRECT(ADDRESS(ROW('3'!BU$34),COLUMN('3'!BU$6)+ROW(A2)+$C$795,1,1,"3")))</f>
        <v>285813.94100000005</v>
      </c>
      <c r="G633" s="99">
        <f ca="1">IF(INDIRECT(ADDRESS(ROW('3'!BU$34),COLUMN('3'!BU$6)+ROW(A2)+$D$795,1,1,"3"))="","",INDIRECT(ADDRESS(ROW('3'!BU$34),COLUMN('3'!BU$6)+ROW(A2)+$D$795,1,1,"3")))</f>
        <v>313474.62199999997</v>
      </c>
      <c r="H633" s="99">
        <f t="shared" ref="H633:H643" ca="1" si="79">IFERROR(B633-E633,"")</f>
        <v>41221.026999999944</v>
      </c>
      <c r="I633" s="99">
        <f t="shared" ref="I633:I643" ca="1" si="80">IFERROR(C633-F633,"")</f>
        <v>35616.016999999934</v>
      </c>
      <c r="J633" s="99">
        <f t="shared" ref="J633:J643" ca="1" si="81">IFERROR(D633-G633,"")</f>
        <v>46646.892000000051</v>
      </c>
    </row>
    <row r="634" spans="1:10">
      <c r="A634" s="97" t="s">
        <v>158</v>
      </c>
      <c r="B634" s="99">
        <f ca="1">IF(INDIRECT(ADDRESS(ROW('3'!BU$33),COLUMN('3'!BU$6)+ROW(A3)+$B$795,1,1,"3"))="","",INDIRECT(ADDRESS(ROW('3'!BU$33),COLUMN('3'!BU$6)+ROW(A3)+$B$795,1,1,"3")))</f>
        <v>219856.022</v>
      </c>
      <c r="C634" s="99">
        <f ca="1">IF(INDIRECT(ADDRESS(ROW('3'!BU$33),COLUMN('3'!BU$6)+ROW(A3)+$C$795,1,1,"3"))="","",INDIRECT(ADDRESS(ROW('3'!BU$33),COLUMN('3'!BU$6)+ROW(A3)+$C$795,1,1,"3")))</f>
        <v>330721.73600000003</v>
      </c>
      <c r="D634" s="99">
        <f ca="1">IF(INDIRECT(ADDRESS(ROW('3'!BU$33),COLUMN('3'!BU$6)+ROW(A3)+$D$795,1,1,"3"))="","",INDIRECT(ADDRESS(ROW('3'!BU$33),COLUMN('3'!BU$6)+ROW(A3)+$D$795,1,1,"3")))</f>
        <v>347743.15300000005</v>
      </c>
      <c r="E634" s="99">
        <f ca="1">IF(INDIRECT(ADDRESS(ROW('3'!BU$34),COLUMN('3'!BU$6)+ROW(A3)+$B$795,1,1,"3"))="","",INDIRECT(ADDRESS(ROW('3'!BU$34),COLUMN('3'!BU$6)+ROW(A3)+$B$795,1,1,"3")))</f>
        <v>280186.84999999998</v>
      </c>
      <c r="F634" s="99">
        <f ca="1">IF(INDIRECT(ADDRESS(ROW('3'!BU$34),COLUMN('3'!BU$6)+ROW(A3)+$C$795,1,1,"3"))="","",INDIRECT(ADDRESS(ROW('3'!BU$34),COLUMN('3'!BU$6)+ROW(A3)+$C$795,1,1,"3")))</f>
        <v>301165.06499999994</v>
      </c>
      <c r="G634" s="99">
        <f ca="1">IF(INDIRECT(ADDRESS(ROW('3'!BU$34),COLUMN('3'!BU$6)+ROW(A3)+$D$795,1,1,"3"))="","",INDIRECT(ADDRESS(ROW('3'!BU$34),COLUMN('3'!BU$6)+ROW(A3)+$D$795,1,1,"3")))</f>
        <v>331709.478</v>
      </c>
      <c r="H634" s="99">
        <f t="shared" ca="1" si="79"/>
        <v>-60330.82799999998</v>
      </c>
      <c r="I634" s="99">
        <f t="shared" ca="1" si="80"/>
        <v>29556.671000000089</v>
      </c>
      <c r="J634" s="99">
        <f t="shared" ca="1" si="81"/>
        <v>16033.675000000047</v>
      </c>
    </row>
    <row r="635" spans="1:10">
      <c r="A635" s="97" t="s">
        <v>159</v>
      </c>
      <c r="B635" s="99">
        <f ca="1">IF(INDIRECT(ADDRESS(ROW('3'!BU$33),COLUMN('3'!BU$6)+ROW(A4)+$B$795,1,1,"3"))="","",INDIRECT(ADDRESS(ROW('3'!BU$33),COLUMN('3'!BU$6)+ROW(A4)+$B$795,1,1,"3")))</f>
        <v>320943.46199999994</v>
      </c>
      <c r="C635" s="99">
        <f ca="1">IF(INDIRECT(ADDRESS(ROW('3'!BU$33),COLUMN('3'!BU$6)+ROW(A4)+$C$795,1,1,"3"))="","",INDIRECT(ADDRESS(ROW('3'!BU$33),COLUMN('3'!BU$6)+ROW(A4)+$C$795,1,1,"3")))</f>
        <v>337077.96400000004</v>
      </c>
      <c r="D635" s="99">
        <f ca="1">IF(INDIRECT(ADDRESS(ROW('3'!BU$33),COLUMN('3'!BU$6)+ROW(A4)+$D$795,1,1,"3"))="","",INDIRECT(ADDRESS(ROW('3'!BU$33),COLUMN('3'!BU$6)+ROW(A4)+$D$795,1,1,"3")))</f>
        <v>336301.75699999987</v>
      </c>
      <c r="E635" s="99">
        <f ca="1">IF(INDIRECT(ADDRESS(ROW('3'!BU$34),COLUMN('3'!BU$6)+ROW(A4)+$B$795,1,1,"3"))="","",INDIRECT(ADDRESS(ROW('3'!BU$34),COLUMN('3'!BU$6)+ROW(A4)+$B$795,1,1,"3")))</f>
        <v>309610.59600000002</v>
      </c>
      <c r="F635" s="99">
        <f ca="1">IF(INDIRECT(ADDRESS(ROW('3'!BU$34),COLUMN('3'!BU$6)+ROW(A4)+$C$795,1,1,"3"))="","",INDIRECT(ADDRESS(ROW('3'!BU$34),COLUMN('3'!BU$6)+ROW(A4)+$C$795,1,1,"3")))</f>
        <v>352750.26800000004</v>
      </c>
      <c r="G635" s="99">
        <f ca="1">IF(INDIRECT(ADDRESS(ROW('3'!BU$34),COLUMN('3'!BU$6)+ROW(A4)+$D$795,1,1,"3"))="","",INDIRECT(ADDRESS(ROW('3'!BU$34),COLUMN('3'!BU$6)+ROW(A4)+$D$795,1,1,"3")))</f>
        <v>338655.40399999998</v>
      </c>
      <c r="H635" s="99">
        <f t="shared" ca="1" si="79"/>
        <v>11332.865999999922</v>
      </c>
      <c r="I635" s="99">
        <f t="shared" ca="1" si="80"/>
        <v>-15672.304000000004</v>
      </c>
      <c r="J635" s="99">
        <f t="shared" ca="1" si="81"/>
        <v>-2353.6470000001136</v>
      </c>
    </row>
    <row r="636" spans="1:10">
      <c r="A636" s="97" t="s">
        <v>160</v>
      </c>
      <c r="B636" s="99">
        <f ca="1">IF(INDIRECT(ADDRESS(ROW('3'!BU$33),COLUMN('3'!BU$6)+ROW(A5)+$B$795,1,1,"3"))="","",INDIRECT(ADDRESS(ROW('3'!BU$33),COLUMN('3'!BU$6)+ROW(A5)+$B$795,1,1,"3")))</f>
        <v>302319.49399999995</v>
      </c>
      <c r="C636" s="99">
        <f ca="1">IF(INDIRECT(ADDRESS(ROW('3'!BU$33),COLUMN('3'!BU$6)+ROW(A5)+$C$795,1,1,"3"))="","",INDIRECT(ADDRESS(ROW('3'!BU$33),COLUMN('3'!BU$6)+ROW(A5)+$C$795,1,1,"3")))</f>
        <v>326788.99300000002</v>
      </c>
      <c r="D636" s="99">
        <f ca="1">IF(INDIRECT(ADDRESS(ROW('3'!BU$33),COLUMN('3'!BU$6)+ROW(A5)+$D$795,1,1,"3"))="","",INDIRECT(ADDRESS(ROW('3'!BU$33),COLUMN('3'!BU$6)+ROW(A5)+$D$795,1,1,"3")))</f>
        <v>336450.34400000004</v>
      </c>
      <c r="E636" s="99">
        <f ca="1">IF(INDIRECT(ADDRESS(ROW('3'!BU$34),COLUMN('3'!BU$6)+ROW(A5)+$B$795,1,1,"3"))="","",INDIRECT(ADDRESS(ROW('3'!BU$34),COLUMN('3'!BU$6)+ROW(A5)+$B$795,1,1,"3")))</f>
        <v>304271.2209999999</v>
      </c>
      <c r="F636" s="99">
        <f ca="1">IF(INDIRECT(ADDRESS(ROW('3'!BU$34),COLUMN('3'!BU$6)+ROW(A5)+$C$795,1,1,"3"))="","",INDIRECT(ADDRESS(ROW('3'!BU$34),COLUMN('3'!BU$6)+ROW(A5)+$C$795,1,1,"3")))</f>
        <v>324599.27899999986</v>
      </c>
      <c r="G636" s="99">
        <f ca="1">IF(INDIRECT(ADDRESS(ROW('3'!BU$34),COLUMN('3'!BU$6)+ROW(A5)+$D$795,1,1,"3"))="","",INDIRECT(ADDRESS(ROW('3'!BU$34),COLUMN('3'!BU$6)+ROW(A5)+$D$795,1,1,"3")))</f>
        <v>325861.51900000009</v>
      </c>
      <c r="H636" s="99">
        <f t="shared" ca="1" si="79"/>
        <v>-1951.7269999999553</v>
      </c>
      <c r="I636" s="99">
        <f t="shared" ca="1" si="80"/>
        <v>2189.7140000001527</v>
      </c>
      <c r="J636" s="99">
        <f t="shared" ca="1" si="81"/>
        <v>10588.824999999953</v>
      </c>
    </row>
    <row r="637" spans="1:10">
      <c r="A637" s="97" t="s">
        <v>161</v>
      </c>
      <c r="B637" s="99">
        <f ca="1">IF(INDIRECT(ADDRESS(ROW('3'!BU$33),COLUMN('3'!BU$6)+ROW(A6)+$B$795,1,1,"3"))="","",INDIRECT(ADDRESS(ROW('3'!BU$33),COLUMN('3'!BU$6)+ROW(A6)+$B$795,1,1,"3")))</f>
        <v>389767.87000000011</v>
      </c>
      <c r="C637" s="99">
        <f ca="1">IF(INDIRECT(ADDRESS(ROW('3'!BU$33),COLUMN('3'!BU$6)+ROW(A6)+$C$795,1,1,"3"))="","",INDIRECT(ADDRESS(ROW('3'!BU$33),COLUMN('3'!BU$6)+ROW(A6)+$C$795,1,1,"3")))</f>
        <v>409175.67099999986</v>
      </c>
      <c r="D637" s="99">
        <f ca="1">IF(INDIRECT(ADDRESS(ROW('3'!BU$33),COLUMN('3'!BU$6)+ROW(A6)+$D$795,1,1,"3"))="","",INDIRECT(ADDRESS(ROW('3'!BU$33),COLUMN('3'!BU$6)+ROW(A6)+$D$795,1,1,"3")))</f>
        <v>409781.15399999986</v>
      </c>
      <c r="E637" s="99">
        <f ca="1">IF(INDIRECT(ADDRESS(ROW('3'!BU$34),COLUMN('3'!BU$6)+ROW(A6)+$B$795,1,1,"3"))="","",INDIRECT(ADDRESS(ROW('3'!BU$34),COLUMN('3'!BU$6)+ROW(A6)+$B$795,1,1,"3")))</f>
        <v>371345.66500000004</v>
      </c>
      <c r="F637" s="99">
        <f ca="1">IF(INDIRECT(ADDRESS(ROW('3'!BU$34),COLUMN('3'!BU$6)+ROW(A6)+$C$795,1,1,"3"))="","",INDIRECT(ADDRESS(ROW('3'!BU$34),COLUMN('3'!BU$6)+ROW(A6)+$C$795,1,1,"3")))</f>
        <v>398514.71299999999</v>
      </c>
      <c r="G637" s="99">
        <f ca="1">IF(INDIRECT(ADDRESS(ROW('3'!BU$34),COLUMN('3'!BU$6)+ROW(A6)+$D$795,1,1,"3"))="","",INDIRECT(ADDRESS(ROW('3'!BU$34),COLUMN('3'!BU$6)+ROW(A6)+$D$795,1,1,"3")))</f>
        <v>420540.473</v>
      </c>
      <c r="H637" s="99">
        <f t="shared" ca="1" si="79"/>
        <v>18422.205000000075</v>
      </c>
      <c r="I637" s="99">
        <f t="shared" ca="1" si="80"/>
        <v>10660.957999999868</v>
      </c>
      <c r="J637" s="99">
        <f t="shared" ca="1" si="81"/>
        <v>-10759.319000000134</v>
      </c>
    </row>
    <row r="638" spans="1:10">
      <c r="A638" s="97" t="s">
        <v>162</v>
      </c>
      <c r="B638" s="99">
        <f ca="1">IF(INDIRECT(ADDRESS(ROW('3'!BU$33),COLUMN('3'!BU$6)+ROW(A7)+$B$795,1,1,"3"))="","",INDIRECT(ADDRESS(ROW('3'!BU$33),COLUMN('3'!BU$6)+ROW(A7)+$B$795,1,1,"3")))</f>
        <v>289656.17000000016</v>
      </c>
      <c r="C638" s="99">
        <f ca="1">IF(INDIRECT(ADDRESS(ROW('3'!BU$33),COLUMN('3'!BU$6)+ROW(A7)+$C$795,1,1,"3"))="","",INDIRECT(ADDRESS(ROW('3'!BU$33),COLUMN('3'!BU$6)+ROW(A7)+$C$795,1,1,"3")))</f>
        <v>294069.5410000002</v>
      </c>
      <c r="D638" s="99">
        <f ca="1">IF(INDIRECT(ADDRESS(ROW('3'!BU$33),COLUMN('3'!BU$6)+ROW(A7)+$D$795,1,1,"3"))="","",INDIRECT(ADDRESS(ROW('3'!BU$33),COLUMN('3'!BU$6)+ROW(A7)+$D$795,1,1,"3")))</f>
        <v>310599.56000000006</v>
      </c>
      <c r="E638" s="99">
        <f ca="1">IF(INDIRECT(ADDRESS(ROW('3'!BU$34),COLUMN('3'!BU$6)+ROW(A7)+$B$795,1,1,"3"))="","",INDIRECT(ADDRESS(ROW('3'!BU$34),COLUMN('3'!BU$6)+ROW(A7)+$B$795,1,1,"3")))</f>
        <v>327048.54500000016</v>
      </c>
      <c r="F638" s="99">
        <f ca="1">IF(INDIRECT(ADDRESS(ROW('3'!BU$34),COLUMN('3'!BU$6)+ROW(A7)+$C$795,1,1,"3"))="","",INDIRECT(ADDRESS(ROW('3'!BU$34),COLUMN('3'!BU$6)+ROW(A7)+$C$795,1,1,"3")))</f>
        <v>363864.67200000025</v>
      </c>
      <c r="G638" s="99">
        <f ca="1">IF(INDIRECT(ADDRESS(ROW('3'!BU$34),COLUMN('3'!BU$6)+ROW(A7)+$D$795,1,1,"3"))="","",INDIRECT(ADDRESS(ROW('3'!BU$34),COLUMN('3'!BU$6)+ROW(A7)+$D$795,1,1,"3")))</f>
        <v>378769.01099999971</v>
      </c>
      <c r="H638" s="99">
        <f t="shared" ca="1" si="79"/>
        <v>-37392.375</v>
      </c>
      <c r="I638" s="99">
        <f t="shared" ca="1" si="80"/>
        <v>-69795.131000000052</v>
      </c>
      <c r="J638" s="99">
        <f t="shared" ca="1" si="81"/>
        <v>-68169.450999999652</v>
      </c>
    </row>
    <row r="639" spans="1:10">
      <c r="A639" s="97" t="s">
        <v>163</v>
      </c>
      <c r="B639" s="99">
        <f ca="1">IF(INDIRECT(ADDRESS(ROW('3'!BU$33),COLUMN('3'!BU$6)+ROW(A8)+$B$795,1,1,"3"))="","",INDIRECT(ADDRESS(ROW('3'!BU$33),COLUMN('3'!BU$6)+ROW(A8)+$B$795,1,1,"3")))</f>
        <v>296848.35499999998</v>
      </c>
      <c r="C639" s="99">
        <f ca="1">IF(INDIRECT(ADDRESS(ROW('3'!BU$33),COLUMN('3'!BU$6)+ROW(A8)+$C$795,1,1,"3"))="","",INDIRECT(ADDRESS(ROW('3'!BU$33),COLUMN('3'!BU$6)+ROW(A8)+$C$795,1,1,"3")))</f>
        <v>296799.60399999982</v>
      </c>
      <c r="D639" s="99" t="str">
        <f ca="1">IF(INDIRECT(ADDRESS(ROW('3'!BU$33),COLUMN('3'!BU$6)+ROW(A8)+$D$795,1,1,"3"))="","",INDIRECT(ADDRESS(ROW('3'!BU$33),COLUMN('3'!BU$6)+ROW(A8)+$D$795,1,1,"3")))</f>
        <v/>
      </c>
      <c r="E639" s="99">
        <f ca="1">IF(INDIRECT(ADDRESS(ROW('3'!BU$34),COLUMN('3'!BU$6)+ROW(A8)+$B$795,1,1,"3"))="","",INDIRECT(ADDRESS(ROW('3'!BU$34),COLUMN('3'!BU$6)+ROW(A8)+$B$795,1,1,"3")))</f>
        <v>270215.54099999974</v>
      </c>
      <c r="F639" s="99">
        <f ca="1">IF(INDIRECT(ADDRESS(ROW('3'!BU$34),COLUMN('3'!BU$6)+ROW(A8)+$C$795,1,1,"3"))="","",INDIRECT(ADDRESS(ROW('3'!BU$34),COLUMN('3'!BU$6)+ROW(A8)+$C$795,1,1,"3")))</f>
        <v>292342.72699999996</v>
      </c>
      <c r="G639" s="99" t="str">
        <f ca="1">IF(INDIRECT(ADDRESS(ROW('3'!BU$34),COLUMN('3'!BU$6)+ROW(A8)+$D$795,1,1,"3"))="","",INDIRECT(ADDRESS(ROW('3'!BU$34),COLUMN('3'!BU$6)+ROW(A8)+$D$795,1,1,"3")))</f>
        <v/>
      </c>
      <c r="H639" s="99">
        <f t="shared" ca="1" si="79"/>
        <v>26632.814000000246</v>
      </c>
      <c r="I639" s="99">
        <f t="shared" ca="1" si="80"/>
        <v>4456.8769999998622</v>
      </c>
      <c r="J639" s="99" t="str">
        <f t="shared" ca="1" si="81"/>
        <v/>
      </c>
    </row>
    <row r="640" spans="1:10">
      <c r="A640" s="97" t="s">
        <v>164</v>
      </c>
      <c r="B640" s="99">
        <f ca="1">IF(INDIRECT(ADDRESS(ROW('3'!BU$33),COLUMN('3'!BU$6)+ROW(A9)+$B$795,1,1,"3"))="","",INDIRECT(ADDRESS(ROW('3'!BU$33),COLUMN('3'!BU$6)+ROW(A9)+$B$795,1,1,"3")))</f>
        <v>280160.77499999991</v>
      </c>
      <c r="C640" s="99">
        <f ca="1">IF(INDIRECT(ADDRESS(ROW('3'!BU$33),COLUMN('3'!BU$6)+ROW(A9)+$C$795,1,1,"3"))="","",INDIRECT(ADDRESS(ROW('3'!BU$33),COLUMN('3'!BU$6)+ROW(A9)+$C$795,1,1,"3")))</f>
        <v>348082.16399999987</v>
      </c>
      <c r="D640" s="99" t="str">
        <f ca="1">IF(INDIRECT(ADDRESS(ROW('3'!BU$33),COLUMN('3'!BU$6)+ROW(A9)+$D$795,1,1,"3"))="","",INDIRECT(ADDRESS(ROW('3'!BU$33),COLUMN('3'!BU$6)+ROW(A9)+$D$795,1,1,"3")))</f>
        <v/>
      </c>
      <c r="E640" s="99">
        <f ca="1">IF(INDIRECT(ADDRESS(ROW('3'!BU$34),COLUMN('3'!BU$6)+ROW(A9)+$B$795,1,1,"3"))="","",INDIRECT(ADDRESS(ROW('3'!BU$34),COLUMN('3'!BU$6)+ROW(A9)+$B$795,1,1,"3")))</f>
        <v>255439.60900000017</v>
      </c>
      <c r="F640" s="99">
        <f ca="1">IF(INDIRECT(ADDRESS(ROW('3'!BU$34),COLUMN('3'!BU$6)+ROW(A9)+$C$795,1,1,"3"))="","",INDIRECT(ADDRESS(ROW('3'!BU$34),COLUMN('3'!BU$6)+ROW(A9)+$C$795,1,1,"3")))</f>
        <v>310724.86599999992</v>
      </c>
      <c r="G640" s="99" t="str">
        <f ca="1">IF(INDIRECT(ADDRESS(ROW('3'!BU$34),COLUMN('3'!BU$6)+ROW(A9)+$D$795,1,1,"3"))="","",INDIRECT(ADDRESS(ROW('3'!BU$34),COLUMN('3'!BU$6)+ROW(A9)+$D$795,1,1,"3")))</f>
        <v/>
      </c>
      <c r="H640" s="99">
        <f t="shared" ca="1" si="79"/>
        <v>24721.165999999736</v>
      </c>
      <c r="I640" s="99">
        <f t="shared" ca="1" si="80"/>
        <v>37357.297999999952</v>
      </c>
      <c r="J640" s="99" t="str">
        <f t="shared" ca="1" si="81"/>
        <v/>
      </c>
    </row>
    <row r="641" spans="1:10">
      <c r="A641" s="97" t="s">
        <v>165</v>
      </c>
      <c r="B641" s="99">
        <f ca="1">IF(INDIRECT(ADDRESS(ROW('3'!BU$33),COLUMN('3'!BU$6)+ROW(A10)+$B$795,1,1,"3"))="","",INDIRECT(ADDRESS(ROW('3'!BU$33),COLUMN('3'!BU$6)+ROW(A10)+$B$795,1,1,"3")))</f>
        <v>345163.73</v>
      </c>
      <c r="C641" s="99">
        <f ca="1">IF(INDIRECT(ADDRESS(ROW('3'!BU$33),COLUMN('3'!BU$6)+ROW(A10)+$C$795,1,1,"3"))="","",INDIRECT(ADDRESS(ROW('3'!BU$33),COLUMN('3'!BU$6)+ROW(A10)+$C$795,1,1,"3")))</f>
        <v>357995.53200000012</v>
      </c>
      <c r="D641" s="99" t="str">
        <f ca="1">IF(INDIRECT(ADDRESS(ROW('3'!BU$33),COLUMN('3'!BU$6)+ROW(A10)+$D$795,1,1,"3"))="","",INDIRECT(ADDRESS(ROW('3'!BU$33),COLUMN('3'!BU$6)+ROW(A10)+$D$795,1,1,"3")))</f>
        <v/>
      </c>
      <c r="E641" s="99">
        <f ca="1">IF(INDIRECT(ADDRESS(ROW('3'!BU$34),COLUMN('3'!BU$6)+ROW(A10)+$B$795,1,1,"3"))="","",INDIRECT(ADDRESS(ROW('3'!BU$34),COLUMN('3'!BU$6)+ROW(A10)+$B$795,1,1,"3")))</f>
        <v>338892.42100000009</v>
      </c>
      <c r="F641" s="99">
        <f ca="1">IF(INDIRECT(ADDRESS(ROW('3'!BU$34),COLUMN('3'!BU$6)+ROW(A10)+$C$795,1,1,"3"))="","",INDIRECT(ADDRESS(ROW('3'!BU$34),COLUMN('3'!BU$6)+ROW(A10)+$C$795,1,1,"3")))</f>
        <v>376172.44100000011</v>
      </c>
      <c r="G641" s="99" t="str">
        <f ca="1">IF(INDIRECT(ADDRESS(ROW('3'!BU$34),COLUMN('3'!BU$6)+ROW(A10)+$D$795,1,1,"3"))="","",INDIRECT(ADDRESS(ROW('3'!BU$34),COLUMN('3'!BU$6)+ROW(A10)+$D$795,1,1,"3")))</f>
        <v/>
      </c>
      <c r="H641" s="99">
        <f t="shared" ca="1" si="79"/>
        <v>6271.308999999892</v>
      </c>
      <c r="I641" s="99">
        <f t="shared" ca="1" si="80"/>
        <v>-18176.908999999985</v>
      </c>
      <c r="J641" s="99" t="str">
        <f t="shared" ca="1" si="81"/>
        <v/>
      </c>
    </row>
    <row r="642" spans="1:10">
      <c r="A642" s="97" t="s">
        <v>166</v>
      </c>
      <c r="B642" s="99">
        <f ca="1">IF(INDIRECT(ADDRESS(ROW('3'!BU$33),COLUMN('3'!BU$6)+ROW(A11)+$B$795,1,1,"3"))="","",INDIRECT(ADDRESS(ROW('3'!BU$33),COLUMN('3'!BU$6)+ROW(A11)+$B$795,1,1,"3")))</f>
        <v>329799.11700000009</v>
      </c>
      <c r="C642" s="99">
        <f ca="1">IF(INDIRECT(ADDRESS(ROW('3'!BU$33),COLUMN('3'!BU$6)+ROW(A11)+$C$795,1,1,"3"))="","",INDIRECT(ADDRESS(ROW('3'!BU$33),COLUMN('3'!BU$6)+ROW(A11)+$C$795,1,1,"3")))</f>
        <v>345289.05599999987</v>
      </c>
      <c r="D642" s="99" t="str">
        <f ca="1">IF(INDIRECT(ADDRESS(ROW('3'!BU$33),COLUMN('3'!BU$6)+ROW(A11)+$D$795,1,1,"3"))="","",INDIRECT(ADDRESS(ROW('3'!BU$33),COLUMN('3'!BU$6)+ROW(A11)+$D$795,1,1,"3")))</f>
        <v/>
      </c>
      <c r="E642" s="99">
        <f ca="1">IF(INDIRECT(ADDRESS(ROW('3'!BU$34),COLUMN('3'!BU$6)+ROW(A11)+$B$795,1,1,"3"))="","",INDIRECT(ADDRESS(ROW('3'!BU$34),COLUMN('3'!BU$6)+ROW(A11)+$B$795,1,1,"3")))</f>
        <v>344569.24099999992</v>
      </c>
      <c r="F642" s="99">
        <f ca="1">IF(INDIRECT(ADDRESS(ROW('3'!BU$34),COLUMN('3'!BU$6)+ROW(A11)+$C$795,1,1,"3"))="","",INDIRECT(ADDRESS(ROW('3'!BU$34),COLUMN('3'!BU$6)+ROW(A11)+$C$795,1,1,"3")))</f>
        <v>346244.16999999993</v>
      </c>
      <c r="G642" s="99" t="str">
        <f ca="1">IF(INDIRECT(ADDRESS(ROW('3'!BU$34),COLUMN('3'!BU$6)+ROW(A11)+$D$795,1,1,"3"))="","",INDIRECT(ADDRESS(ROW('3'!BU$34),COLUMN('3'!BU$6)+ROW(A11)+$D$795,1,1,"3")))</f>
        <v/>
      </c>
      <c r="H642" s="99">
        <f t="shared" ca="1" si="79"/>
        <v>-14770.123999999836</v>
      </c>
      <c r="I642" s="99">
        <f t="shared" ca="1" si="80"/>
        <v>-955.1140000000596</v>
      </c>
      <c r="J642" s="99" t="str">
        <f t="shared" ca="1" si="81"/>
        <v/>
      </c>
    </row>
    <row r="643" spans="1:10">
      <c r="A643" s="97" t="s">
        <v>167</v>
      </c>
      <c r="B643" s="99">
        <f ca="1">IF(INDIRECT(ADDRESS(ROW('3'!BU$33),COLUMN('3'!BU$6)+ROW(A12)+$B$795,1,1,"3"))="","",INDIRECT(ADDRESS(ROW('3'!BU$33),COLUMN('3'!BU$6)+ROW(A12)+$B$795,1,1,"3")))</f>
        <v>323092.44799999986</v>
      </c>
      <c r="C643" s="99">
        <f ca="1">IF(INDIRECT(ADDRESS(ROW('3'!BU$33),COLUMN('3'!BU$6)+ROW(A12)+$C$795,1,1,"3"))="","",INDIRECT(ADDRESS(ROW('3'!BU$33),COLUMN('3'!BU$6)+ROW(A12)+$C$795,1,1,"3")))</f>
        <v>359958.63500000024</v>
      </c>
      <c r="D643" s="99" t="str">
        <f ca="1">IF(INDIRECT(ADDRESS(ROW('3'!BU$33),COLUMN('3'!BU$6)+ROW(A12)+$D$795,1,1,"3"))="","",INDIRECT(ADDRESS(ROW('3'!BU$33),COLUMN('3'!BU$6)+ROW(A12)+$D$795,1,1,"3")))</f>
        <v/>
      </c>
      <c r="E643" s="99">
        <f ca="1">IF(INDIRECT(ADDRESS(ROW('3'!BU$34),COLUMN('3'!BU$6)+ROW(A12)+$B$795,1,1,"3"))="","",INDIRECT(ADDRESS(ROW('3'!BU$34),COLUMN('3'!BU$6)+ROW(A12)+$B$795,1,1,"3")))</f>
        <v>472492.17599999998</v>
      </c>
      <c r="F643" s="99">
        <f ca="1">IF(INDIRECT(ADDRESS(ROW('3'!BU$34),COLUMN('3'!BU$6)+ROW(A12)+$C$795,1,1,"3"))="","",INDIRECT(ADDRESS(ROW('3'!BU$34),COLUMN('3'!BU$6)+ROW(A12)+$C$795,1,1,"3")))</f>
        <v>491484.68399999989</v>
      </c>
      <c r="G643" s="99" t="str">
        <f ca="1">IF(INDIRECT(ADDRESS(ROW('3'!BU$34),COLUMN('3'!BU$6)+ROW(A12)+$D$795,1,1,"3"))="","",INDIRECT(ADDRESS(ROW('3'!BU$34),COLUMN('3'!BU$6)+ROW(A12)+$D$795,1,1,"3")))</f>
        <v/>
      </c>
      <c r="H643" s="99">
        <f t="shared" ca="1" si="79"/>
        <v>-149399.72800000012</v>
      </c>
      <c r="I643" s="99">
        <f t="shared" ca="1" si="80"/>
        <v>-131526.04899999965</v>
      </c>
      <c r="J643" s="99" t="str">
        <f t="shared" ca="1" si="81"/>
        <v/>
      </c>
    </row>
    <row r="644" spans="1:10">
      <c r="A644" s="108" t="s">
        <v>168</v>
      </c>
      <c r="B644" s="99">
        <f t="shared" ref="B644:G644" ca="1" si="82">SUM(B632:B643)</f>
        <v>3750944.733</v>
      </c>
      <c r="C644" s="99">
        <f t="shared" ca="1" si="82"/>
        <v>4061472.236</v>
      </c>
      <c r="D644" s="99">
        <f t="shared" ca="1" si="82"/>
        <v>2427809.9679999999</v>
      </c>
      <c r="E644" s="99">
        <f t="shared" ca="1" si="82"/>
        <v>3799231.398</v>
      </c>
      <c r="F644" s="99">
        <f t="shared" ca="1" si="82"/>
        <v>4108682.9939999999</v>
      </c>
      <c r="G644" s="99">
        <f t="shared" ca="1" si="82"/>
        <v>2384811.8849999998</v>
      </c>
      <c r="H644" s="108" t="s">
        <v>61</v>
      </c>
      <c r="I644" s="108" t="s">
        <v>61</v>
      </c>
      <c r="J644" s="108" t="s">
        <v>61</v>
      </c>
    </row>
    <row r="645" spans="1:10">
      <c r="A645" s="89"/>
      <c r="B645" s="89"/>
      <c r="C645" s="89"/>
      <c r="D645" s="89"/>
      <c r="E645" s="89"/>
      <c r="F645" s="89"/>
      <c r="G645" s="89"/>
      <c r="H645" s="89"/>
      <c r="I645" s="89"/>
      <c r="J645" s="89"/>
    </row>
    <row r="646" spans="1:10">
      <c r="A646" s="89"/>
      <c r="B646" s="122"/>
      <c r="C646" s="89"/>
      <c r="D646" s="89"/>
      <c r="E646" s="89"/>
      <c r="F646" s="89"/>
      <c r="G646" s="89"/>
      <c r="H646" s="89"/>
      <c r="I646" s="89"/>
      <c r="J646" s="89"/>
    </row>
    <row r="647" spans="1:10">
      <c r="A647" s="89"/>
      <c r="B647" s="89"/>
      <c r="C647" s="89"/>
      <c r="D647" s="89"/>
      <c r="E647" s="89"/>
      <c r="F647" s="89"/>
      <c r="G647" s="89"/>
      <c r="H647" s="89"/>
      <c r="I647" s="89"/>
      <c r="J647" s="89"/>
    </row>
    <row r="648" spans="1:10">
      <c r="A648" s="89"/>
      <c r="B648" s="89"/>
      <c r="C648" s="89"/>
      <c r="D648" s="89"/>
      <c r="E648" s="89"/>
      <c r="F648" s="89"/>
      <c r="G648" s="89"/>
      <c r="H648" s="89"/>
      <c r="I648" s="89"/>
      <c r="J648" s="89"/>
    </row>
    <row r="649" spans="1:10">
      <c r="A649" s="89"/>
      <c r="B649" s="89"/>
      <c r="C649" s="89"/>
      <c r="D649" s="89"/>
      <c r="E649" s="89"/>
      <c r="F649" s="89"/>
      <c r="G649" s="89"/>
      <c r="H649" s="89"/>
      <c r="I649" s="89"/>
      <c r="J649" s="89"/>
    </row>
    <row r="650" spans="1:10">
      <c r="A650" s="89"/>
      <c r="B650" s="89"/>
      <c r="C650" s="89"/>
      <c r="D650" s="89"/>
      <c r="E650" s="89"/>
      <c r="F650" s="89"/>
      <c r="G650" s="89"/>
      <c r="H650" s="89"/>
      <c r="I650" s="89"/>
      <c r="J650" s="89"/>
    </row>
    <row r="651" spans="1:10">
      <c r="A651" s="89"/>
      <c r="B651" s="89"/>
      <c r="C651" s="89"/>
      <c r="D651" s="89"/>
      <c r="E651" s="89"/>
      <c r="F651" s="89"/>
      <c r="G651" s="89"/>
      <c r="H651" s="89"/>
      <c r="I651" s="89"/>
      <c r="J651" s="89"/>
    </row>
    <row r="652" spans="1:10">
      <c r="A652" s="89"/>
      <c r="B652" s="89"/>
      <c r="C652" s="89"/>
      <c r="D652" s="89"/>
      <c r="E652" s="89"/>
      <c r="F652" s="89"/>
      <c r="G652" s="89"/>
      <c r="H652" s="89"/>
      <c r="I652" s="89"/>
      <c r="J652" s="89"/>
    </row>
    <row r="653" spans="1:10">
      <c r="A653" s="89"/>
      <c r="B653" s="89"/>
      <c r="C653" s="89"/>
      <c r="D653" s="89"/>
      <c r="E653" s="89"/>
      <c r="F653" s="89"/>
      <c r="G653" s="89"/>
      <c r="H653" s="89"/>
      <c r="I653" s="89"/>
      <c r="J653" s="89"/>
    </row>
    <row r="654" spans="1:10">
      <c r="A654" s="89"/>
      <c r="B654" s="89"/>
      <c r="C654" s="89"/>
      <c r="D654" s="89"/>
      <c r="E654" s="89"/>
      <c r="F654" s="89"/>
      <c r="G654" s="89"/>
      <c r="H654" s="89"/>
      <c r="I654" s="89"/>
      <c r="J654" s="89"/>
    </row>
    <row r="655" spans="1:10">
      <c r="A655" s="89"/>
      <c r="B655" s="89"/>
      <c r="C655" s="89"/>
      <c r="D655" s="89"/>
      <c r="E655" s="89"/>
      <c r="F655" s="89"/>
      <c r="G655" s="89"/>
      <c r="H655" s="89"/>
      <c r="I655" s="89"/>
      <c r="J655" s="89"/>
    </row>
    <row r="656" spans="1:10">
      <c r="A656" s="89"/>
      <c r="B656" s="89"/>
      <c r="C656" s="89"/>
      <c r="D656" s="89"/>
      <c r="E656" s="89"/>
      <c r="F656" s="89"/>
      <c r="G656" s="89"/>
      <c r="H656" s="89"/>
      <c r="I656" s="89"/>
      <c r="J656" s="89"/>
    </row>
    <row r="657" spans="1:10">
      <c r="A657" s="89"/>
      <c r="B657" s="89"/>
      <c r="C657" s="89"/>
      <c r="D657" s="89"/>
      <c r="E657" s="89"/>
      <c r="F657" s="89"/>
      <c r="G657" s="89"/>
      <c r="H657" s="89"/>
      <c r="I657" s="89"/>
      <c r="J657" s="89"/>
    </row>
    <row r="658" spans="1:10">
      <c r="A658" s="89"/>
      <c r="B658" s="89"/>
      <c r="C658" s="89"/>
      <c r="D658" s="89"/>
      <c r="E658" s="89"/>
      <c r="F658" s="89"/>
      <c r="G658" s="89"/>
      <c r="H658" s="89"/>
      <c r="I658" s="89"/>
      <c r="J658" s="89"/>
    </row>
    <row r="659" spans="1:10">
      <c r="A659" s="89"/>
      <c r="B659" s="89"/>
      <c r="C659" s="89"/>
      <c r="D659" s="89"/>
      <c r="E659" s="89"/>
      <c r="F659" s="89"/>
      <c r="G659" s="89"/>
      <c r="H659" s="89"/>
      <c r="I659" s="89"/>
      <c r="J659" s="89"/>
    </row>
    <row r="660" spans="1:10">
      <c r="A660" s="89"/>
      <c r="B660" s="89"/>
      <c r="C660" s="89"/>
      <c r="D660" s="89"/>
      <c r="E660" s="89"/>
      <c r="F660" s="89"/>
      <c r="G660" s="89"/>
      <c r="H660" s="89"/>
      <c r="I660" s="89"/>
      <c r="J660" s="89"/>
    </row>
    <row r="661" spans="1:10">
      <c r="A661" s="89"/>
      <c r="B661" s="89"/>
      <c r="C661" s="89"/>
      <c r="D661" s="89"/>
      <c r="E661" s="89"/>
      <c r="F661" s="89"/>
      <c r="G661" s="89"/>
      <c r="H661" s="89"/>
      <c r="I661" s="89"/>
      <c r="J661" s="89"/>
    </row>
    <row r="662" spans="1:10">
      <c r="A662" s="89"/>
      <c r="B662" s="89"/>
      <c r="C662" s="89"/>
      <c r="D662" s="89"/>
      <c r="E662" s="89"/>
      <c r="F662" s="89"/>
      <c r="G662" s="89"/>
      <c r="H662" s="89"/>
      <c r="I662" s="89"/>
      <c r="J662" s="89"/>
    </row>
    <row r="663" spans="1:10">
      <c r="A663" s="89"/>
      <c r="B663" s="89"/>
      <c r="C663" s="89"/>
      <c r="D663" s="89"/>
      <c r="E663" s="89"/>
      <c r="F663" s="89"/>
      <c r="G663" s="89"/>
      <c r="H663" s="89"/>
      <c r="I663" s="89"/>
      <c r="J663" s="89"/>
    </row>
    <row r="664" spans="1:10">
      <c r="A664" s="89"/>
      <c r="B664" s="89"/>
      <c r="C664" s="89"/>
      <c r="D664" s="89"/>
      <c r="E664" s="89"/>
      <c r="F664" s="89"/>
      <c r="G664" s="89"/>
      <c r="H664" s="89"/>
      <c r="I664" s="89"/>
      <c r="J664" s="89"/>
    </row>
    <row r="665" spans="1:10">
      <c r="A665" s="89"/>
      <c r="B665" s="89"/>
      <c r="C665" s="89"/>
      <c r="D665" s="89"/>
      <c r="E665" s="89"/>
      <c r="F665" s="89"/>
      <c r="G665" s="89"/>
      <c r="H665" s="89"/>
      <c r="I665" s="89"/>
      <c r="J665" s="89"/>
    </row>
    <row r="666" spans="1:10">
      <c r="A666" s="89"/>
      <c r="B666" s="89"/>
      <c r="C666" s="89"/>
      <c r="D666" s="89"/>
      <c r="E666" s="89"/>
      <c r="F666" s="89"/>
      <c r="G666" s="89"/>
      <c r="H666" s="89"/>
      <c r="I666" s="89"/>
      <c r="J666" s="89"/>
    </row>
    <row r="667" spans="1:10">
      <c r="A667" s="89"/>
      <c r="B667" s="89"/>
      <c r="C667" s="89"/>
      <c r="D667" s="89"/>
      <c r="E667" s="89"/>
      <c r="F667" s="89"/>
      <c r="G667" s="89"/>
      <c r="H667" s="89"/>
      <c r="I667" s="89"/>
      <c r="J667" s="89"/>
    </row>
    <row r="668" spans="1:10">
      <c r="A668" s="89"/>
      <c r="B668" s="89"/>
      <c r="C668" s="89"/>
      <c r="D668" s="89"/>
      <c r="E668" s="89"/>
      <c r="F668" s="89"/>
      <c r="G668" s="89"/>
      <c r="H668" s="89"/>
      <c r="I668" s="89"/>
      <c r="J668" s="89"/>
    </row>
    <row r="669" spans="1:10">
      <c r="A669" s="89"/>
      <c r="B669" s="89"/>
      <c r="C669" s="89"/>
      <c r="D669" s="89"/>
      <c r="E669" s="89"/>
      <c r="F669" s="89"/>
      <c r="G669" s="89"/>
      <c r="H669" s="89"/>
      <c r="I669" s="89"/>
      <c r="J669" s="89"/>
    </row>
    <row r="670" spans="1:10">
      <c r="A670" s="89"/>
      <c r="B670" s="89"/>
      <c r="C670" s="89"/>
      <c r="D670" s="89"/>
      <c r="E670" s="89"/>
      <c r="F670" s="89"/>
      <c r="G670" s="89"/>
      <c r="H670" s="89"/>
      <c r="I670" s="89"/>
      <c r="J670" s="89"/>
    </row>
    <row r="671" spans="1:10">
      <c r="A671" s="89"/>
      <c r="B671" s="89"/>
      <c r="C671" s="89"/>
      <c r="D671" s="89"/>
      <c r="E671" s="89"/>
      <c r="F671" s="89"/>
      <c r="G671" s="89"/>
      <c r="H671" s="89"/>
      <c r="I671" s="89"/>
      <c r="J671" s="89"/>
    </row>
    <row r="672" spans="1:10">
      <c r="A672" s="89"/>
      <c r="B672" s="89"/>
      <c r="C672" s="89"/>
      <c r="D672" s="89"/>
      <c r="E672" s="89"/>
      <c r="F672" s="89"/>
      <c r="G672" s="89"/>
      <c r="H672" s="89"/>
      <c r="I672" s="89"/>
      <c r="J672" s="89"/>
    </row>
    <row r="673" spans="1:10">
      <c r="A673" s="89"/>
      <c r="B673" s="89"/>
      <c r="C673" s="89"/>
      <c r="D673" s="89"/>
      <c r="E673" s="89"/>
      <c r="F673" s="89"/>
      <c r="G673" s="89"/>
      <c r="H673" s="89"/>
      <c r="I673" s="89"/>
      <c r="J673" s="89"/>
    </row>
    <row r="674" spans="1:10">
      <c r="A674" s="89"/>
      <c r="B674" s="89"/>
      <c r="C674" s="89"/>
      <c r="D674" s="89"/>
      <c r="E674" s="89"/>
      <c r="F674" s="89"/>
      <c r="G674" s="89"/>
      <c r="H674" s="89"/>
      <c r="I674" s="89"/>
      <c r="J674" s="89"/>
    </row>
    <row r="675" spans="1:10">
      <c r="A675" s="89"/>
      <c r="B675" s="89"/>
      <c r="C675" s="89"/>
      <c r="D675" s="89"/>
      <c r="E675" s="89"/>
      <c r="F675" s="89"/>
      <c r="G675" s="89"/>
      <c r="H675" s="89"/>
      <c r="I675" s="89"/>
      <c r="J675" s="89"/>
    </row>
    <row r="676" spans="1:10">
      <c r="A676" s="89"/>
      <c r="B676" s="89"/>
      <c r="C676" s="89"/>
      <c r="D676" s="89"/>
      <c r="E676" s="89"/>
      <c r="F676" s="89"/>
      <c r="G676" s="89"/>
      <c r="H676" s="89"/>
      <c r="I676" s="89"/>
      <c r="J676" s="89"/>
    </row>
    <row r="677" spans="1:10">
      <c r="A677" s="89"/>
      <c r="B677" s="89"/>
      <c r="C677" s="89"/>
      <c r="D677" s="89"/>
      <c r="E677" s="89"/>
      <c r="F677" s="89"/>
      <c r="G677" s="89"/>
      <c r="H677" s="89"/>
      <c r="I677" s="89"/>
      <c r="J677" s="89"/>
    </row>
    <row r="678" spans="1:10">
      <c r="A678" s="89"/>
      <c r="B678" s="89"/>
      <c r="C678" s="89"/>
      <c r="D678" s="89"/>
      <c r="E678" s="89"/>
      <c r="F678" s="89"/>
      <c r="G678" s="89"/>
      <c r="H678" s="89"/>
      <c r="I678" s="89"/>
      <c r="J678" s="89"/>
    </row>
    <row r="679" spans="1:10">
      <c r="A679" s="89"/>
      <c r="B679" s="89"/>
      <c r="C679" s="89"/>
      <c r="D679" s="89"/>
      <c r="E679" s="89"/>
      <c r="F679" s="89"/>
      <c r="G679" s="89"/>
      <c r="H679" s="89"/>
      <c r="I679" s="89"/>
      <c r="J679" s="89"/>
    </row>
    <row r="680" spans="1:10">
      <c r="A680" s="89"/>
      <c r="B680" s="89"/>
      <c r="C680" s="89"/>
      <c r="D680" s="89"/>
      <c r="E680" s="89"/>
      <c r="F680" s="89"/>
      <c r="G680" s="89"/>
      <c r="H680" s="89"/>
      <c r="I680" s="89"/>
      <c r="J680" s="89"/>
    </row>
    <row r="681" spans="1:10">
      <c r="A681" s="89"/>
      <c r="B681" s="89"/>
      <c r="C681" s="89"/>
      <c r="D681" s="89"/>
      <c r="E681" s="89"/>
      <c r="F681" s="89"/>
      <c r="G681" s="89"/>
      <c r="H681" s="89"/>
      <c r="I681" s="89"/>
      <c r="J681" s="89"/>
    </row>
    <row r="682" spans="1:10">
      <c r="A682" s="89"/>
      <c r="B682" s="89"/>
      <c r="C682" s="89"/>
      <c r="D682" s="89"/>
      <c r="E682" s="89"/>
      <c r="F682" s="89"/>
      <c r="G682" s="89"/>
      <c r="H682" s="89"/>
      <c r="I682" s="89"/>
      <c r="J682" s="89"/>
    </row>
    <row r="683" spans="1:10">
      <c r="A683" s="89"/>
      <c r="B683" s="89"/>
      <c r="C683" s="89"/>
      <c r="D683" s="89"/>
      <c r="E683" s="89"/>
      <c r="F683" s="89"/>
      <c r="G683" s="89"/>
      <c r="H683" s="89"/>
      <c r="I683" s="89"/>
      <c r="J683" s="89"/>
    </row>
    <row r="684" spans="1:10">
      <c r="A684" s="89"/>
      <c r="B684" s="89"/>
      <c r="C684" s="89"/>
      <c r="D684" s="89"/>
      <c r="E684" s="89"/>
      <c r="F684" s="89"/>
      <c r="G684" s="89"/>
      <c r="H684" s="89"/>
      <c r="I684" s="89"/>
      <c r="J684" s="89"/>
    </row>
    <row r="685" spans="1:10">
      <c r="A685" s="89"/>
      <c r="B685" s="89"/>
      <c r="C685" s="89"/>
      <c r="D685" s="89"/>
      <c r="E685" s="89"/>
      <c r="F685" s="89"/>
      <c r="G685" s="89"/>
      <c r="H685" s="89"/>
      <c r="I685" s="89"/>
      <c r="J685" s="89"/>
    </row>
    <row r="686" spans="1:10">
      <c r="A686" s="89"/>
      <c r="B686" s="89"/>
      <c r="C686" s="89"/>
      <c r="D686" s="89"/>
      <c r="E686" s="89"/>
      <c r="F686" s="89"/>
      <c r="G686" s="89"/>
      <c r="H686" s="89"/>
      <c r="I686" s="89"/>
      <c r="J686" s="89"/>
    </row>
    <row r="687" spans="1:10">
      <c r="A687" s="89"/>
      <c r="B687" s="89"/>
      <c r="C687" s="89"/>
      <c r="D687" s="89"/>
      <c r="E687" s="89"/>
      <c r="F687" s="89"/>
      <c r="G687" s="89"/>
      <c r="H687" s="89"/>
      <c r="I687" s="89"/>
      <c r="J687" s="89"/>
    </row>
    <row r="688" spans="1:10">
      <c r="A688" s="89"/>
      <c r="B688" s="89"/>
      <c r="C688" s="89"/>
      <c r="D688" s="89"/>
      <c r="E688" s="89"/>
      <c r="F688" s="89"/>
      <c r="G688" s="89"/>
      <c r="H688" s="89"/>
      <c r="I688" s="89"/>
      <c r="J688" s="89"/>
    </row>
    <row r="689" spans="1:45">
      <c r="A689" s="109"/>
      <c r="B689" s="109"/>
      <c r="C689" s="109"/>
      <c r="D689" s="109"/>
      <c r="E689" s="109"/>
      <c r="F689" s="109"/>
      <c r="G689" s="109"/>
      <c r="H689" s="109"/>
      <c r="I689" s="109"/>
      <c r="J689" s="109"/>
      <c r="K689" s="47"/>
      <c r="L689" s="72"/>
      <c r="M689" s="72"/>
    </row>
    <row r="690" spans="1:45">
      <c r="A690" s="89"/>
      <c r="B690" s="89"/>
      <c r="C690" s="89"/>
      <c r="D690" s="89"/>
      <c r="E690" s="89"/>
      <c r="F690" s="89"/>
      <c r="G690" s="89"/>
      <c r="H690" s="89"/>
      <c r="I690" s="89"/>
      <c r="J690" s="89"/>
    </row>
    <row r="691" spans="1:45">
      <c r="A691" s="89"/>
      <c r="B691" s="89"/>
      <c r="C691" s="89"/>
      <c r="D691" s="89"/>
      <c r="E691" s="89"/>
      <c r="F691" s="89"/>
      <c r="G691" s="89"/>
      <c r="H691" s="89"/>
      <c r="I691" s="89"/>
      <c r="J691" s="89"/>
    </row>
    <row r="692" spans="1:45">
      <c r="A692" s="89"/>
      <c r="B692" s="89"/>
      <c r="C692" s="89"/>
      <c r="D692" s="89"/>
      <c r="E692" s="89"/>
      <c r="F692" s="89"/>
      <c r="G692" s="89"/>
      <c r="H692" s="89"/>
      <c r="I692" s="89"/>
      <c r="J692" s="89"/>
    </row>
    <row r="693" spans="1:45">
      <c r="A693" s="89"/>
      <c r="B693" s="89"/>
      <c r="C693" s="89"/>
      <c r="D693" s="89"/>
      <c r="E693" s="89"/>
      <c r="F693" s="89"/>
      <c r="G693" s="89"/>
      <c r="H693" s="89"/>
      <c r="I693" s="89"/>
      <c r="J693" s="89"/>
    </row>
    <row r="694" spans="1:45">
      <c r="A694" s="89"/>
      <c r="B694" s="89"/>
      <c r="C694" s="89"/>
      <c r="D694" s="89"/>
      <c r="E694" s="89"/>
      <c r="F694" s="89"/>
      <c r="G694" s="89"/>
      <c r="H694" s="89"/>
      <c r="I694" s="89"/>
      <c r="J694" s="89"/>
    </row>
    <row r="695" spans="1:45">
      <c r="A695" s="89"/>
      <c r="B695" s="89"/>
      <c r="C695" s="89"/>
      <c r="D695" s="89"/>
      <c r="E695" s="89"/>
      <c r="F695" s="89"/>
      <c r="G695" s="89"/>
      <c r="H695" s="89"/>
      <c r="I695" s="89"/>
      <c r="J695" s="89"/>
    </row>
    <row r="696" spans="1:45">
      <c r="A696" s="89"/>
      <c r="B696" s="89"/>
      <c r="C696" s="89"/>
      <c r="D696" s="89"/>
      <c r="E696" s="89"/>
      <c r="F696" s="89"/>
      <c r="G696" s="89"/>
      <c r="H696" s="89"/>
      <c r="I696" s="89"/>
      <c r="J696" s="89"/>
    </row>
    <row r="697" spans="1:45">
      <c r="A697" s="89"/>
      <c r="B697" s="89"/>
      <c r="C697" s="89"/>
      <c r="D697" s="89"/>
      <c r="E697" s="89"/>
      <c r="F697" s="89"/>
      <c r="G697" s="89"/>
      <c r="H697" s="89"/>
      <c r="I697" s="89"/>
      <c r="J697" s="89"/>
    </row>
    <row r="698" spans="1:45">
      <c r="A698" s="89"/>
      <c r="B698" s="89"/>
      <c r="C698" s="89"/>
      <c r="D698" s="89"/>
      <c r="E698" s="89"/>
      <c r="F698" s="89"/>
      <c r="G698" s="89"/>
      <c r="H698" s="89"/>
      <c r="I698" s="89"/>
      <c r="J698" s="89"/>
    </row>
    <row r="699" spans="1:45">
      <c r="A699" s="89"/>
      <c r="B699" s="89"/>
      <c r="C699" s="89"/>
      <c r="D699" s="89"/>
      <c r="E699" s="89"/>
      <c r="F699" s="89"/>
      <c r="G699" s="89"/>
      <c r="H699" s="89"/>
      <c r="I699" s="89"/>
      <c r="J699" s="89"/>
    </row>
    <row r="700" spans="1:45" ht="15" hidden="1" customHeight="1">
      <c r="A700" s="404" t="s">
        <v>65</v>
      </c>
      <c r="B700" s="405"/>
      <c r="C700" s="405"/>
      <c r="D700" s="405"/>
      <c r="E700" s="405"/>
      <c r="F700" s="405"/>
      <c r="G700" s="405"/>
      <c r="H700" s="405"/>
      <c r="I700" s="405"/>
      <c r="J700" s="406"/>
    </row>
    <row r="701" spans="1:45" hidden="1">
      <c r="A701" s="90" t="s">
        <v>30</v>
      </c>
      <c r="B701" s="407" t="s">
        <v>56</v>
      </c>
      <c r="C701" s="409"/>
      <c r="D701" s="408"/>
      <c r="E701" s="407" t="s">
        <v>57</v>
      </c>
      <c r="F701" s="409"/>
      <c r="G701" s="408"/>
      <c r="H701" s="407" t="s">
        <v>58</v>
      </c>
      <c r="I701" s="409"/>
      <c r="J701" s="408"/>
    </row>
    <row r="702" spans="1:45" hidden="1">
      <c r="A702" s="92">
        <v>1</v>
      </c>
      <c r="B702" s="93">
        <v>2</v>
      </c>
      <c r="C702" s="93">
        <v>3</v>
      </c>
      <c r="D702" s="93">
        <v>4</v>
      </c>
      <c r="E702" s="93">
        <v>5</v>
      </c>
      <c r="F702" s="93">
        <v>6</v>
      </c>
      <c r="G702" s="93">
        <v>7</v>
      </c>
      <c r="H702" s="106" t="s">
        <v>70</v>
      </c>
      <c r="I702" s="106" t="s">
        <v>71</v>
      </c>
      <c r="J702" s="106" t="s">
        <v>72</v>
      </c>
      <c r="AN702" s="27"/>
      <c r="AO702" s="27"/>
      <c r="AP702" s="27"/>
      <c r="AQ702" s="27"/>
      <c r="AR702" s="27"/>
      <c r="AS702" s="27"/>
    </row>
    <row r="703" spans="1:45" hidden="1">
      <c r="A703" s="94"/>
      <c r="B703" s="93" t="s">
        <v>62</v>
      </c>
      <c r="C703" s="93" t="s">
        <v>51</v>
      </c>
      <c r="D703" s="93" t="s">
        <v>31</v>
      </c>
      <c r="E703" s="93" t="s">
        <v>62</v>
      </c>
      <c r="F703" s="93" t="s">
        <v>51</v>
      </c>
      <c r="G703" s="93" t="s">
        <v>31</v>
      </c>
      <c r="H703" s="93" t="s">
        <v>62</v>
      </c>
      <c r="I703" s="93" t="s">
        <v>51</v>
      </c>
      <c r="J703" s="93" t="s">
        <v>31</v>
      </c>
      <c r="AN703" s="27"/>
      <c r="AO703" s="27"/>
      <c r="AP703" s="27"/>
      <c r="AQ703" s="27"/>
      <c r="AR703" s="27"/>
      <c r="AS703" s="27"/>
    </row>
    <row r="704" spans="1:45" hidden="1">
      <c r="A704" s="95"/>
      <c r="B704" s="107">
        <v>2024</v>
      </c>
      <c r="C704" s="107">
        <v>2025</v>
      </c>
      <c r="D704" s="107">
        <v>2026</v>
      </c>
      <c r="E704" s="107">
        <v>2024</v>
      </c>
      <c r="F704" s="107">
        <v>2025</v>
      </c>
      <c r="G704" s="107">
        <v>2026</v>
      </c>
      <c r="H704" s="107">
        <v>2024</v>
      </c>
      <c r="I704" s="107">
        <v>2025</v>
      </c>
      <c r="J704" s="107">
        <v>2026</v>
      </c>
      <c r="M704" s="70" t="s">
        <v>78</v>
      </c>
      <c r="N704" s="201" t="str">
        <f t="shared" ref="N704:N716" si="83">C779</f>
        <v>2020 fakts</v>
      </c>
      <c r="O704" s="201" t="str">
        <f t="shared" ref="O704:O716" si="84">D779</f>
        <v>2021 fakts</v>
      </c>
      <c r="P704" s="201" t="str">
        <f t="shared" ref="P704:P716" si="85">E779</f>
        <v>2021 fakts</v>
      </c>
      <c r="Q704" s="201" t="str">
        <f t="shared" ref="Q704:Q716" si="86">F779</f>
        <v>2022 plāns</v>
      </c>
      <c r="R704" s="201" t="str">
        <f t="shared" ref="R704:R716" si="87">G779</f>
        <v>2022 fakts</v>
      </c>
      <c r="S704" s="201" t="str">
        <f t="shared" ref="S704:S716" si="88">H779</f>
        <v>2023 plāns</v>
      </c>
      <c r="T704" s="201" t="str">
        <f t="shared" ref="T704:W716" si="89">I779</f>
        <v>2023 fakts</v>
      </c>
      <c r="U704" s="201" t="str">
        <f t="shared" si="89"/>
        <v>2024 fakts</v>
      </c>
      <c r="V704" s="201" t="str">
        <f t="shared" si="89"/>
        <v>2025 fakts</v>
      </c>
      <c r="W704" s="201" t="str">
        <f t="shared" si="89"/>
        <v>2026 prognoze</v>
      </c>
      <c r="AN704" s="27"/>
      <c r="AO704" s="27"/>
      <c r="AP704" s="27"/>
      <c r="AQ704" s="27"/>
      <c r="AR704" s="27"/>
      <c r="AS704" s="27"/>
    </row>
    <row r="705" spans="1:45" hidden="1">
      <c r="A705" s="97" t="s">
        <v>156</v>
      </c>
      <c r="B705" s="98">
        <f ca="1">IFERROR(B632/U705*100,"")</f>
        <v>0.8120471826477399</v>
      </c>
      <c r="C705" s="98">
        <f ca="1">IFERROR(C632/V705*100,"")</f>
        <v>0.77646517621011757</v>
      </c>
      <c r="D705" s="98">
        <f ca="1">IFERROR(D632/W705*100,"")</f>
        <v>0.71766553905757235</v>
      </c>
      <c r="E705" s="98">
        <f ca="1">IFERROR(E632/U705*100,"")</f>
        <v>0.59814368518912009</v>
      </c>
      <c r="F705" s="98">
        <f ca="1">IFERROR(F632/V705*100,"")</f>
        <v>0.61591827675190391</v>
      </c>
      <c r="G705" s="98">
        <f ca="1">IFERROR(G632/W705*100,"")</f>
        <v>0.6056474372744477</v>
      </c>
      <c r="H705" s="98">
        <f ca="1">IFERROR(B705-E705,"")</f>
        <v>0.21390349745861981</v>
      </c>
      <c r="I705" s="98">
        <f ca="1">IFERROR(C705-F705,"")</f>
        <v>0.16054689945821365</v>
      </c>
      <c r="J705" s="98">
        <f ca="1">IFERROR(D705-G705,"")</f>
        <v>0.11201810178312466</v>
      </c>
      <c r="M705" s="200" t="s">
        <v>156</v>
      </c>
      <c r="N705" s="71">
        <f t="shared" si="83"/>
        <v>29224340</v>
      </c>
      <c r="O705" s="71">
        <f t="shared" si="84"/>
        <v>32283779</v>
      </c>
      <c r="P705" s="71">
        <f t="shared" si="85"/>
        <v>32283779</v>
      </c>
      <c r="Q705" s="71">
        <f t="shared" si="86"/>
        <v>36103656</v>
      </c>
      <c r="R705" s="71">
        <f t="shared" si="87"/>
        <v>36088740</v>
      </c>
      <c r="S705" s="71">
        <f t="shared" si="88"/>
        <v>39072483</v>
      </c>
      <c r="T705" s="71">
        <f t="shared" si="89"/>
        <v>39564221</v>
      </c>
      <c r="U705" s="71">
        <f t="shared" si="89"/>
        <v>40652318</v>
      </c>
      <c r="V705" s="71">
        <f t="shared" si="89"/>
        <v>43026190</v>
      </c>
      <c r="W705" s="71">
        <f t="shared" si="89"/>
        <v>45538272.107807383</v>
      </c>
      <c r="AN705" s="27"/>
      <c r="AO705" s="27"/>
      <c r="AP705" s="27"/>
      <c r="AQ705" s="27"/>
      <c r="AR705" s="27"/>
      <c r="AS705" s="27"/>
    </row>
    <row r="706" spans="1:45" hidden="1">
      <c r="A706" s="97" t="s">
        <v>157</v>
      </c>
      <c r="B706" s="98">
        <f t="shared" ref="B706:B716" ca="1" si="90">IFERROR(B633/U706*100,"")</f>
        <v>0.79508697880401302</v>
      </c>
      <c r="C706" s="98">
        <f t="shared" ref="C706:C716" ca="1" si="91">IFERROR(C633/V706*100,"")</f>
        <v>0.74705652069123474</v>
      </c>
      <c r="D706" s="98">
        <f t="shared" ref="D706:D716" ca="1" si="92">IFERROR(D633/W706*100,"")</f>
        <v>0.79081066832629854</v>
      </c>
      <c r="E706" s="98">
        <f t="shared" ref="E706:E716" ca="1" si="93">IFERROR(E633/U706*100,"")</f>
        <v>0.69368802044695232</v>
      </c>
      <c r="F706" s="98">
        <f t="shared" ref="F706:F716" ca="1" si="94">IFERROR(F633/V706*100,"")</f>
        <v>0.66427899147007918</v>
      </c>
      <c r="G706" s="98">
        <f t="shared" ref="G706:G716" ca="1" si="95">IFERROR(G633/W706*100,"")</f>
        <v>0.6883761888415082</v>
      </c>
      <c r="H706" s="98">
        <f t="shared" ref="H706:H716" ca="1" si="96">IFERROR(B706-E706,"")</f>
        <v>0.1013989583570607</v>
      </c>
      <c r="I706" s="98">
        <f t="shared" ref="I706:I716" ca="1" si="97">IFERROR(C706-F706,"")</f>
        <v>8.2777529221155555E-2</v>
      </c>
      <c r="J706" s="98">
        <f t="shared" ref="J706:J716" ca="1" si="98">IFERROR(D706-G706,"")</f>
        <v>0.10243447948479034</v>
      </c>
      <c r="M706" s="200" t="s">
        <v>157</v>
      </c>
      <c r="N706" s="71">
        <f t="shared" si="83"/>
        <v>29224340</v>
      </c>
      <c r="O706" s="71">
        <f t="shared" si="84"/>
        <v>32283779</v>
      </c>
      <c r="P706" s="71">
        <f t="shared" si="85"/>
        <v>32283779</v>
      </c>
      <c r="Q706" s="71">
        <f t="shared" si="86"/>
        <v>36103656</v>
      </c>
      <c r="R706" s="71">
        <f t="shared" si="87"/>
        <v>36088740</v>
      </c>
      <c r="S706" s="71">
        <f t="shared" si="88"/>
        <v>39072483</v>
      </c>
      <c r="T706" s="71">
        <f t="shared" si="89"/>
        <v>39564221</v>
      </c>
      <c r="U706" s="71">
        <f t="shared" si="89"/>
        <v>40652318</v>
      </c>
      <c r="V706" s="71">
        <f t="shared" si="89"/>
        <v>43026190</v>
      </c>
      <c r="W706" s="71">
        <f t="shared" si="89"/>
        <v>45538272.107807383</v>
      </c>
      <c r="AN706" s="27"/>
      <c r="AO706" s="27"/>
      <c r="AP706" s="27"/>
      <c r="AQ706" s="27"/>
      <c r="AR706" s="27"/>
      <c r="AS706" s="27"/>
    </row>
    <row r="707" spans="1:45" hidden="1">
      <c r="A707" s="97" t="s">
        <v>158</v>
      </c>
      <c r="B707" s="98">
        <f t="shared" ca="1" si="90"/>
        <v>0.54082038323128334</v>
      </c>
      <c r="C707" s="98">
        <f t="shared" ca="1" si="91"/>
        <v>0.7686521534906996</v>
      </c>
      <c r="D707" s="98">
        <f t="shared" ca="1" si="92"/>
        <v>0.76362834359800102</v>
      </c>
      <c r="E707" s="98">
        <f t="shared" ca="1" si="93"/>
        <v>0.68922724160526339</v>
      </c>
      <c r="F707" s="98">
        <f t="shared" ca="1" si="94"/>
        <v>0.69995754911136676</v>
      </c>
      <c r="G707" s="98">
        <f t="shared" ca="1" si="95"/>
        <v>0.72841911351996502</v>
      </c>
      <c r="H707" s="98">
        <f t="shared" ca="1" si="96"/>
        <v>-0.14840685837398004</v>
      </c>
      <c r="I707" s="98">
        <f t="shared" ca="1" si="97"/>
        <v>6.8694604379332835E-2</v>
      </c>
      <c r="J707" s="98">
        <f t="shared" ca="1" si="98"/>
        <v>3.5209230078036002E-2</v>
      </c>
      <c r="M707" s="200" t="s">
        <v>158</v>
      </c>
      <c r="N707" s="71">
        <f t="shared" si="83"/>
        <v>29224340</v>
      </c>
      <c r="O707" s="71">
        <f t="shared" si="84"/>
        <v>32283779</v>
      </c>
      <c r="P707" s="71">
        <f t="shared" si="85"/>
        <v>32283779</v>
      </c>
      <c r="Q707" s="71">
        <f t="shared" si="86"/>
        <v>36103656</v>
      </c>
      <c r="R707" s="71">
        <f t="shared" si="87"/>
        <v>36088740</v>
      </c>
      <c r="S707" s="71">
        <f t="shared" si="88"/>
        <v>39072483</v>
      </c>
      <c r="T707" s="71">
        <f t="shared" si="89"/>
        <v>39564221</v>
      </c>
      <c r="U707" s="71">
        <f t="shared" si="89"/>
        <v>40652318</v>
      </c>
      <c r="V707" s="71">
        <f t="shared" si="89"/>
        <v>43026190</v>
      </c>
      <c r="W707" s="71">
        <f t="shared" si="89"/>
        <v>45538272.107807383</v>
      </c>
      <c r="AN707" s="27"/>
      <c r="AO707" s="27"/>
      <c r="AP707" s="27"/>
      <c r="AQ707" s="27"/>
      <c r="AR707" s="27"/>
      <c r="AS707" s="27"/>
    </row>
    <row r="708" spans="1:45" hidden="1">
      <c r="A708" s="97" t="s">
        <v>159</v>
      </c>
      <c r="B708" s="98">
        <f t="shared" ca="1" si="90"/>
        <v>0.78948379278150871</v>
      </c>
      <c r="C708" s="98">
        <f t="shared" ca="1" si="91"/>
        <v>0.78342508132837241</v>
      </c>
      <c r="D708" s="98">
        <f t="shared" ca="1" si="92"/>
        <v>0.73850355192186146</v>
      </c>
      <c r="E708" s="98">
        <f t="shared" ca="1" si="93"/>
        <v>0.76160625330147236</v>
      </c>
      <c r="F708" s="98">
        <f t="shared" ca="1" si="94"/>
        <v>0.81985011454651224</v>
      </c>
      <c r="G708" s="98">
        <f t="shared" ca="1" si="95"/>
        <v>0.74367205500961175</v>
      </c>
      <c r="H708" s="98">
        <f t="shared" ca="1" si="96"/>
        <v>2.7877539480036351E-2</v>
      </c>
      <c r="I708" s="98">
        <f t="shared" ca="1" si="97"/>
        <v>-3.6425033218139835E-2</v>
      </c>
      <c r="J708" s="98">
        <f t="shared" ca="1" si="98"/>
        <v>-5.168503087750298E-3</v>
      </c>
      <c r="M708" s="200" t="s">
        <v>159</v>
      </c>
      <c r="N708" s="71">
        <f t="shared" si="83"/>
        <v>29224340</v>
      </c>
      <c r="O708" s="71">
        <f t="shared" si="84"/>
        <v>32283779</v>
      </c>
      <c r="P708" s="71">
        <f t="shared" si="85"/>
        <v>32283779</v>
      </c>
      <c r="Q708" s="71">
        <f t="shared" si="86"/>
        <v>36103656</v>
      </c>
      <c r="R708" s="71">
        <f t="shared" si="87"/>
        <v>36088740</v>
      </c>
      <c r="S708" s="71">
        <f t="shared" si="88"/>
        <v>39072483</v>
      </c>
      <c r="T708" s="71">
        <f t="shared" si="89"/>
        <v>39564221</v>
      </c>
      <c r="U708" s="71">
        <f t="shared" si="89"/>
        <v>40652318</v>
      </c>
      <c r="V708" s="71">
        <f t="shared" si="89"/>
        <v>43026190</v>
      </c>
      <c r="W708" s="71">
        <f t="shared" si="89"/>
        <v>45538272.107807383</v>
      </c>
      <c r="AN708" s="27"/>
      <c r="AO708" s="27"/>
      <c r="AP708" s="27"/>
      <c r="AQ708" s="27"/>
      <c r="AR708" s="27"/>
      <c r="AS708" s="27"/>
    </row>
    <row r="709" spans="1:45" hidden="1">
      <c r="A709" s="97" t="s">
        <v>160</v>
      </c>
      <c r="B709" s="98">
        <f t="shared" ca="1" si="90"/>
        <v>0.7436709857479713</v>
      </c>
      <c r="C709" s="98">
        <f t="shared" ca="1" si="91"/>
        <v>0.75951180664613815</v>
      </c>
      <c r="D709" s="98">
        <f t="shared" ca="1" si="92"/>
        <v>0.73882984229943316</v>
      </c>
      <c r="E709" s="98">
        <f t="shared" ca="1" si="93"/>
        <v>0.7484720084104427</v>
      </c>
      <c r="F709" s="98">
        <f t="shared" ca="1" si="94"/>
        <v>0.75442254822004895</v>
      </c>
      <c r="G709" s="98">
        <f t="shared" ca="1" si="95"/>
        <v>0.71557725824237461</v>
      </c>
      <c r="H709" s="98">
        <f t="shared" ca="1" si="96"/>
        <v>-4.8010226624713992E-3</v>
      </c>
      <c r="I709" s="98">
        <f t="shared" ca="1" si="97"/>
        <v>5.0892584260892049E-3</v>
      </c>
      <c r="J709" s="98">
        <f t="shared" ca="1" si="98"/>
        <v>2.3252584057058545E-2</v>
      </c>
      <c r="M709" s="200" t="s">
        <v>160</v>
      </c>
      <c r="N709" s="71">
        <f t="shared" si="83"/>
        <v>29224340</v>
      </c>
      <c r="O709" s="71">
        <f t="shared" si="84"/>
        <v>32283779</v>
      </c>
      <c r="P709" s="71">
        <f t="shared" si="85"/>
        <v>32283779</v>
      </c>
      <c r="Q709" s="71">
        <f t="shared" si="86"/>
        <v>36103656</v>
      </c>
      <c r="R709" s="71">
        <f t="shared" si="87"/>
        <v>36088740</v>
      </c>
      <c r="S709" s="71">
        <f t="shared" si="88"/>
        <v>39072483</v>
      </c>
      <c r="T709" s="71">
        <f t="shared" si="89"/>
        <v>39564221</v>
      </c>
      <c r="U709" s="71">
        <f t="shared" si="89"/>
        <v>40652318</v>
      </c>
      <c r="V709" s="71">
        <f t="shared" si="89"/>
        <v>43026190</v>
      </c>
      <c r="W709" s="71">
        <f t="shared" si="89"/>
        <v>45538272.107807383</v>
      </c>
      <c r="AN709" s="27"/>
      <c r="AO709" s="27"/>
      <c r="AP709" s="27"/>
      <c r="AQ709" s="27"/>
      <c r="AR709" s="27"/>
      <c r="AS709" s="27"/>
    </row>
    <row r="710" spans="1:45" hidden="1">
      <c r="A710" s="97" t="s">
        <v>161</v>
      </c>
      <c r="B710" s="98">
        <f t="shared" ca="1" si="90"/>
        <v>0.95878387549757949</v>
      </c>
      <c r="C710" s="98">
        <f t="shared" ca="1" si="91"/>
        <v>0.95099210736530426</v>
      </c>
      <c r="D710" s="98">
        <f t="shared" ca="1" si="92"/>
        <v>0.89986100708846239</v>
      </c>
      <c r="E710" s="98">
        <f t="shared" ca="1" si="93"/>
        <v>0.91346738210598477</v>
      </c>
      <c r="F710" s="98">
        <f t="shared" ca="1" si="94"/>
        <v>0.92621427321359384</v>
      </c>
      <c r="G710" s="98">
        <f t="shared" ca="1" si="95"/>
        <v>0.92348798831104473</v>
      </c>
      <c r="H710" s="98">
        <f t="shared" ca="1" si="96"/>
        <v>4.5316493391594714E-2</v>
      </c>
      <c r="I710" s="98">
        <f t="shared" ca="1" si="97"/>
        <v>2.4777834151710421E-2</v>
      </c>
      <c r="J710" s="98">
        <f t="shared" ca="1" si="98"/>
        <v>-2.3626981222582333E-2</v>
      </c>
      <c r="M710" s="200" t="s">
        <v>161</v>
      </c>
      <c r="N710" s="71">
        <f t="shared" si="83"/>
        <v>29224340</v>
      </c>
      <c r="O710" s="71">
        <f t="shared" si="84"/>
        <v>32283779</v>
      </c>
      <c r="P710" s="71">
        <f t="shared" si="85"/>
        <v>32283779</v>
      </c>
      <c r="Q710" s="71">
        <f t="shared" si="86"/>
        <v>36103656</v>
      </c>
      <c r="R710" s="71">
        <f t="shared" si="87"/>
        <v>36088740</v>
      </c>
      <c r="S710" s="71">
        <f t="shared" si="88"/>
        <v>39072483</v>
      </c>
      <c r="T710" s="71">
        <f t="shared" si="89"/>
        <v>39564221</v>
      </c>
      <c r="U710" s="71">
        <f t="shared" si="89"/>
        <v>40652318</v>
      </c>
      <c r="V710" s="71">
        <f t="shared" si="89"/>
        <v>43026190</v>
      </c>
      <c r="W710" s="71">
        <f t="shared" si="89"/>
        <v>45538272.107807383</v>
      </c>
      <c r="AN710" s="27"/>
      <c r="AO710" s="27"/>
      <c r="AP710" s="27"/>
      <c r="AQ710" s="27"/>
      <c r="AR710" s="27"/>
      <c r="AS710" s="27"/>
    </row>
    <row r="711" spans="1:45" hidden="1">
      <c r="A711" s="97" t="s">
        <v>162</v>
      </c>
      <c r="B711" s="98">
        <f t="shared" ca="1" si="90"/>
        <v>0.7125206734828754</v>
      </c>
      <c r="C711" s="98">
        <f t="shared" ca="1" si="91"/>
        <v>0.68346637478242955</v>
      </c>
      <c r="D711" s="98">
        <f t="shared" ca="1" si="92"/>
        <v>0.68206268183537166</v>
      </c>
      <c r="E711" s="98">
        <f t="shared" ca="1" si="93"/>
        <v>0.80450159078259731</v>
      </c>
      <c r="F711" s="98">
        <f t="shared" ca="1" si="94"/>
        <v>0.84568183239092343</v>
      </c>
      <c r="G711" s="98">
        <f t="shared" ca="1" si="95"/>
        <v>0.83175973410519688</v>
      </c>
      <c r="H711" s="98">
        <f t="shared" ca="1" si="96"/>
        <v>-9.1980917299721909E-2</v>
      </c>
      <c r="I711" s="98">
        <f t="shared" ca="1" si="97"/>
        <v>-0.16221545760849387</v>
      </c>
      <c r="J711" s="98">
        <f t="shared" ca="1" si="98"/>
        <v>-0.14969705226982521</v>
      </c>
      <c r="M711" s="200" t="s">
        <v>162</v>
      </c>
      <c r="N711" s="71">
        <f t="shared" si="83"/>
        <v>29224340</v>
      </c>
      <c r="O711" s="71">
        <f t="shared" si="84"/>
        <v>32283779</v>
      </c>
      <c r="P711" s="71">
        <f t="shared" si="85"/>
        <v>32283779</v>
      </c>
      <c r="Q711" s="71">
        <f t="shared" si="86"/>
        <v>36103656</v>
      </c>
      <c r="R711" s="71">
        <f t="shared" si="87"/>
        <v>36088740</v>
      </c>
      <c r="S711" s="71">
        <f t="shared" si="88"/>
        <v>39072483</v>
      </c>
      <c r="T711" s="71">
        <f t="shared" si="89"/>
        <v>39564221</v>
      </c>
      <c r="U711" s="71">
        <f t="shared" si="89"/>
        <v>40652318</v>
      </c>
      <c r="V711" s="71">
        <f t="shared" si="89"/>
        <v>43026190</v>
      </c>
      <c r="W711" s="71">
        <f t="shared" si="89"/>
        <v>45538272.107807383</v>
      </c>
      <c r="AN711" s="27"/>
      <c r="AO711" s="27"/>
      <c r="AP711" s="27"/>
      <c r="AQ711" s="27"/>
      <c r="AR711" s="27"/>
      <c r="AS711" s="27"/>
    </row>
    <row r="712" spans="1:45" hidden="1">
      <c r="A712" s="97" t="s">
        <v>163</v>
      </c>
      <c r="B712" s="98">
        <f t="shared" ca="1" si="90"/>
        <v>0.73021261665816939</v>
      </c>
      <c r="C712" s="98">
        <f t="shared" ca="1" si="91"/>
        <v>0.68981149388314378</v>
      </c>
      <c r="D712" s="98" t="str">
        <f t="shared" ca="1" si="92"/>
        <v/>
      </c>
      <c r="E712" s="98">
        <f t="shared" ca="1" si="93"/>
        <v>0.66469897485304463</v>
      </c>
      <c r="F712" s="98">
        <f t="shared" ca="1" si="94"/>
        <v>0.67945297271266636</v>
      </c>
      <c r="G712" s="98" t="str">
        <f t="shared" ca="1" si="95"/>
        <v/>
      </c>
      <c r="H712" s="98">
        <f t="shared" ca="1" si="96"/>
        <v>6.5513641805124756E-2</v>
      </c>
      <c r="I712" s="98">
        <f t="shared" ca="1" si="97"/>
        <v>1.0358521170477419E-2</v>
      </c>
      <c r="J712" s="98" t="str">
        <f t="shared" ca="1" si="98"/>
        <v/>
      </c>
      <c r="M712" s="200" t="s">
        <v>163</v>
      </c>
      <c r="N712" s="71">
        <f t="shared" si="83"/>
        <v>29224340</v>
      </c>
      <c r="O712" s="71">
        <f t="shared" si="84"/>
        <v>32283779</v>
      </c>
      <c r="P712" s="71">
        <f t="shared" si="85"/>
        <v>32283779</v>
      </c>
      <c r="Q712" s="71">
        <f t="shared" si="86"/>
        <v>36103656</v>
      </c>
      <c r="R712" s="71">
        <f t="shared" si="87"/>
        <v>36088740</v>
      </c>
      <c r="S712" s="71">
        <f t="shared" si="88"/>
        <v>39072483</v>
      </c>
      <c r="T712" s="71">
        <f t="shared" si="89"/>
        <v>39564221</v>
      </c>
      <c r="U712" s="71">
        <f t="shared" si="89"/>
        <v>40652318</v>
      </c>
      <c r="V712" s="71">
        <f t="shared" si="89"/>
        <v>43026190</v>
      </c>
      <c r="W712" s="71">
        <f t="shared" si="89"/>
        <v>45538272.107807383</v>
      </c>
      <c r="AN712" s="27"/>
      <c r="AO712" s="27"/>
      <c r="AP712" s="27"/>
      <c r="AQ712" s="27"/>
      <c r="AR712" s="27"/>
      <c r="AS712" s="27"/>
    </row>
    <row r="713" spans="1:45" hidden="1">
      <c r="A713" s="97" t="s">
        <v>164</v>
      </c>
      <c r="B713" s="98">
        <f t="shared" ca="1" si="90"/>
        <v>0.68916310012137538</v>
      </c>
      <c r="C713" s="98">
        <f t="shared" ca="1" si="91"/>
        <v>0.8090006668031724</v>
      </c>
      <c r="D713" s="98" t="str">
        <f t="shared" ca="1" si="92"/>
        <v/>
      </c>
      <c r="E713" s="98">
        <f t="shared" ca="1" si="93"/>
        <v>0.62835189127468738</v>
      </c>
      <c r="F713" s="98">
        <f t="shared" ca="1" si="94"/>
        <v>0.72217611180539087</v>
      </c>
      <c r="G713" s="98" t="str">
        <f t="shared" ca="1" si="95"/>
        <v/>
      </c>
      <c r="H713" s="98">
        <f t="shared" ca="1" si="96"/>
        <v>6.0811208846688003E-2</v>
      </c>
      <c r="I713" s="98">
        <f t="shared" ca="1" si="97"/>
        <v>8.6824554997781522E-2</v>
      </c>
      <c r="J713" s="98" t="str">
        <f t="shared" ca="1" si="98"/>
        <v/>
      </c>
      <c r="M713" s="200" t="s">
        <v>164</v>
      </c>
      <c r="N713" s="71">
        <f t="shared" si="83"/>
        <v>29224340</v>
      </c>
      <c r="O713" s="71">
        <f t="shared" si="84"/>
        <v>32283779</v>
      </c>
      <c r="P713" s="71">
        <f t="shared" si="85"/>
        <v>32283779</v>
      </c>
      <c r="Q713" s="71">
        <f t="shared" si="86"/>
        <v>36103656</v>
      </c>
      <c r="R713" s="71">
        <f t="shared" si="87"/>
        <v>36088740</v>
      </c>
      <c r="S713" s="71">
        <f t="shared" si="88"/>
        <v>39072483</v>
      </c>
      <c r="T713" s="71">
        <f t="shared" si="89"/>
        <v>39564221</v>
      </c>
      <c r="U713" s="71">
        <f t="shared" si="89"/>
        <v>40652318</v>
      </c>
      <c r="V713" s="71">
        <f t="shared" si="89"/>
        <v>43026190</v>
      </c>
      <c r="W713" s="71">
        <f t="shared" si="89"/>
        <v>45538272.107807383</v>
      </c>
      <c r="AN713" s="27"/>
      <c r="AO713" s="27"/>
      <c r="AP713" s="27"/>
      <c r="AQ713" s="27"/>
      <c r="AR713" s="27"/>
      <c r="AS713" s="27"/>
    </row>
    <row r="714" spans="1:45" hidden="1">
      <c r="A714" s="97" t="s">
        <v>165</v>
      </c>
      <c r="B714" s="98">
        <f t="shared" ca="1" si="90"/>
        <v>0.84906285048739416</v>
      </c>
      <c r="C714" s="98">
        <f t="shared" ca="1" si="91"/>
        <v>0.8320409778323391</v>
      </c>
      <c r="D714" s="98" t="str">
        <f t="shared" ca="1" si="92"/>
        <v/>
      </c>
      <c r="E714" s="98">
        <f t="shared" ca="1" si="93"/>
        <v>0.83363615575377548</v>
      </c>
      <c r="F714" s="98">
        <f t="shared" ca="1" si="94"/>
        <v>0.87428712837460187</v>
      </c>
      <c r="G714" s="98" t="str">
        <f t="shared" ca="1" si="95"/>
        <v/>
      </c>
      <c r="H714" s="98">
        <f t="shared" ca="1" si="96"/>
        <v>1.5426694733618684E-2</v>
      </c>
      <c r="I714" s="98">
        <f t="shared" ca="1" si="97"/>
        <v>-4.2246150542262773E-2</v>
      </c>
      <c r="J714" s="98" t="str">
        <f t="shared" ca="1" si="98"/>
        <v/>
      </c>
      <c r="M714" s="200" t="s">
        <v>165</v>
      </c>
      <c r="N714" s="71">
        <f t="shared" si="83"/>
        <v>29224340</v>
      </c>
      <c r="O714" s="71">
        <f t="shared" si="84"/>
        <v>32283779</v>
      </c>
      <c r="P714" s="71">
        <f t="shared" si="85"/>
        <v>32283779</v>
      </c>
      <c r="Q714" s="71">
        <f t="shared" si="86"/>
        <v>36103656</v>
      </c>
      <c r="R714" s="71">
        <f t="shared" si="87"/>
        <v>36088740</v>
      </c>
      <c r="S714" s="71">
        <f t="shared" si="88"/>
        <v>39072483</v>
      </c>
      <c r="T714" s="71">
        <f t="shared" si="89"/>
        <v>39564221</v>
      </c>
      <c r="U714" s="71">
        <f t="shared" si="89"/>
        <v>40652318</v>
      </c>
      <c r="V714" s="71">
        <f t="shared" si="89"/>
        <v>43026190</v>
      </c>
      <c r="W714" s="71">
        <f t="shared" si="89"/>
        <v>45538272.107807383</v>
      </c>
      <c r="AN714" s="27"/>
      <c r="AO714" s="27"/>
      <c r="AP714" s="27"/>
      <c r="AQ714" s="27"/>
      <c r="AR714" s="27"/>
      <c r="AS714" s="27"/>
    </row>
    <row r="715" spans="1:45" hidden="1">
      <c r="A715" s="97" t="s">
        <v>166</v>
      </c>
      <c r="B715" s="98">
        <f t="shared" ca="1" si="90"/>
        <v>0.81126767974214931</v>
      </c>
      <c r="C715" s="98">
        <f t="shared" ca="1" si="91"/>
        <v>0.80250902066857388</v>
      </c>
      <c r="D715" s="98" t="str">
        <f t="shared" ca="1" si="92"/>
        <v/>
      </c>
      <c r="E715" s="98">
        <f t="shared" ca="1" si="93"/>
        <v>0.84760047631232227</v>
      </c>
      <c r="F715" s="98">
        <f t="shared" ca="1" si="94"/>
        <v>0.80472886397796295</v>
      </c>
      <c r="G715" s="98" t="str">
        <f t="shared" ca="1" si="95"/>
        <v/>
      </c>
      <c r="H715" s="98">
        <f t="shared" ca="1" si="96"/>
        <v>-3.6332796570172965E-2</v>
      </c>
      <c r="I715" s="98">
        <f t="shared" ca="1" si="97"/>
        <v>-2.219843309389069E-3</v>
      </c>
      <c r="J715" s="98" t="str">
        <f t="shared" ca="1" si="98"/>
        <v/>
      </c>
      <c r="M715" s="200" t="s">
        <v>166</v>
      </c>
      <c r="N715" s="71">
        <f t="shared" si="83"/>
        <v>29224340</v>
      </c>
      <c r="O715" s="71">
        <f t="shared" si="84"/>
        <v>32283779</v>
      </c>
      <c r="P715" s="71">
        <f t="shared" si="85"/>
        <v>32283779</v>
      </c>
      <c r="Q715" s="71">
        <f t="shared" si="86"/>
        <v>36103656</v>
      </c>
      <c r="R715" s="71">
        <f t="shared" si="87"/>
        <v>36088740</v>
      </c>
      <c r="S715" s="71">
        <f t="shared" si="88"/>
        <v>39072483</v>
      </c>
      <c r="T715" s="71">
        <f t="shared" si="89"/>
        <v>39564221</v>
      </c>
      <c r="U715" s="71">
        <f t="shared" si="89"/>
        <v>40652318</v>
      </c>
      <c r="V715" s="71">
        <f t="shared" si="89"/>
        <v>43026190</v>
      </c>
      <c r="W715" s="71">
        <f t="shared" si="89"/>
        <v>45538272.107807383</v>
      </c>
      <c r="AN715" s="27"/>
      <c r="AO715" s="27"/>
      <c r="AP715" s="27"/>
      <c r="AQ715" s="27"/>
      <c r="AR715" s="27"/>
      <c r="AS715" s="27"/>
    </row>
    <row r="716" spans="1:45" hidden="1">
      <c r="A716" s="97" t="s">
        <v>167</v>
      </c>
      <c r="B716" s="98">
        <f t="shared" ca="1" si="90"/>
        <v>0.79477004976690346</v>
      </c>
      <c r="C716" s="98">
        <f t="shared" ca="1" si="91"/>
        <v>0.83660355471864989</v>
      </c>
      <c r="D716" s="98" t="str">
        <f t="shared" ca="1" si="92"/>
        <v/>
      </c>
      <c r="E716" s="98">
        <f t="shared" ca="1" si="93"/>
        <v>1.1622760994834291</v>
      </c>
      <c r="F716" s="98">
        <f t="shared" ca="1" si="94"/>
        <v>1.1422919017463546</v>
      </c>
      <c r="G716" s="98" t="str">
        <f t="shared" ca="1" si="95"/>
        <v/>
      </c>
      <c r="H716" s="98">
        <f t="shared" ca="1" si="96"/>
        <v>-0.36750604971652567</v>
      </c>
      <c r="I716" s="98">
        <f t="shared" ca="1" si="97"/>
        <v>-0.30568834702770475</v>
      </c>
      <c r="J716" s="98" t="str">
        <f t="shared" ca="1" si="98"/>
        <v/>
      </c>
      <c r="M716" s="200" t="s">
        <v>167</v>
      </c>
      <c r="N716" s="71">
        <f t="shared" si="83"/>
        <v>29224340</v>
      </c>
      <c r="O716" s="71">
        <f t="shared" si="84"/>
        <v>32283779</v>
      </c>
      <c r="P716" s="71">
        <f t="shared" si="85"/>
        <v>32283779</v>
      </c>
      <c r="Q716" s="71">
        <f t="shared" si="86"/>
        <v>36103656</v>
      </c>
      <c r="R716" s="71">
        <f t="shared" si="87"/>
        <v>36088740</v>
      </c>
      <c r="S716" s="71">
        <f t="shared" si="88"/>
        <v>39072483</v>
      </c>
      <c r="T716" s="71">
        <f t="shared" si="89"/>
        <v>39564221</v>
      </c>
      <c r="U716" s="71">
        <f t="shared" si="89"/>
        <v>40652318</v>
      </c>
      <c r="V716" s="71">
        <f t="shared" si="89"/>
        <v>43026190</v>
      </c>
      <c r="W716" s="71">
        <f t="shared" si="89"/>
        <v>45538272.107807383</v>
      </c>
      <c r="AN716" s="27"/>
      <c r="AO716" s="27"/>
      <c r="AP716" s="27"/>
      <c r="AQ716" s="27"/>
      <c r="AR716" s="27"/>
      <c r="AS716" s="27"/>
    </row>
    <row r="717" spans="1:45" hidden="1">
      <c r="A717" s="108" t="s">
        <v>168</v>
      </c>
      <c r="B717" s="98">
        <f t="shared" ref="B717:G717" ca="1" si="99">SUM(B705:B716)</f>
        <v>9.2268901689689642</v>
      </c>
      <c r="C717" s="98">
        <f t="shared" ca="1" si="99"/>
        <v>9.4395349344201733</v>
      </c>
      <c r="D717" s="98">
        <f t="shared" ca="1" si="99"/>
        <v>5.331361634127</v>
      </c>
      <c r="E717" s="98">
        <f t="shared" ca="1" si="99"/>
        <v>9.3456697795190919</v>
      </c>
      <c r="F717" s="98">
        <f t="shared" ca="1" si="99"/>
        <v>9.5492605643214041</v>
      </c>
      <c r="G717" s="98">
        <f t="shared" ca="1" si="99"/>
        <v>5.2369397753041484</v>
      </c>
      <c r="H717" s="108" t="s">
        <v>61</v>
      </c>
      <c r="I717" s="108" t="s">
        <v>61</v>
      </c>
      <c r="J717" s="108" t="s">
        <v>61</v>
      </c>
      <c r="AN717" s="27"/>
      <c r="AO717" s="27"/>
      <c r="AP717" s="27"/>
      <c r="AQ717" s="27"/>
      <c r="AR717" s="27"/>
      <c r="AS717" s="27"/>
    </row>
    <row r="718" spans="1:45" hidden="1">
      <c r="A718" s="89"/>
      <c r="B718" s="89"/>
      <c r="C718" s="89"/>
      <c r="D718" s="89"/>
      <c r="E718" s="89"/>
      <c r="F718" s="89"/>
      <c r="G718" s="89"/>
      <c r="H718" s="89"/>
      <c r="I718" s="89"/>
      <c r="J718" s="89"/>
      <c r="AN718" s="27"/>
      <c r="AO718" s="27"/>
      <c r="AP718" s="27"/>
      <c r="AQ718" s="27"/>
      <c r="AR718" s="27"/>
      <c r="AS718" s="27"/>
    </row>
    <row r="719" spans="1:45" hidden="1">
      <c r="A719" s="89"/>
      <c r="B719" s="89"/>
      <c r="C719" s="89"/>
      <c r="D719" s="89"/>
      <c r="E719" s="89"/>
      <c r="F719" s="89"/>
      <c r="G719" s="89"/>
      <c r="H719" s="89"/>
      <c r="I719" s="89"/>
      <c r="J719" s="89"/>
      <c r="AN719" s="27"/>
      <c r="AO719" s="27"/>
      <c r="AP719" s="27"/>
      <c r="AQ719" s="27"/>
      <c r="AR719" s="27"/>
      <c r="AS719" s="27"/>
    </row>
    <row r="720" spans="1:45" hidden="1">
      <c r="A720" s="89"/>
      <c r="B720" s="89"/>
      <c r="C720" s="89"/>
      <c r="D720" s="89"/>
      <c r="E720" s="89"/>
      <c r="F720" s="89"/>
      <c r="G720" s="89"/>
      <c r="H720" s="89"/>
      <c r="I720" s="89"/>
      <c r="J720" s="89"/>
      <c r="AN720" s="27"/>
      <c r="AO720" s="27"/>
      <c r="AP720" s="27"/>
      <c r="AQ720" s="27"/>
      <c r="AR720" s="27"/>
      <c r="AS720" s="27"/>
    </row>
    <row r="721" spans="1:45" hidden="1">
      <c r="A721" s="89"/>
      <c r="B721" s="89"/>
      <c r="C721" s="89"/>
      <c r="D721" s="89"/>
      <c r="E721" s="89"/>
      <c r="F721" s="89"/>
      <c r="G721" s="89"/>
      <c r="H721" s="89"/>
      <c r="I721" s="89"/>
      <c r="J721" s="89"/>
      <c r="AN721" s="27"/>
      <c r="AO721" s="27"/>
      <c r="AP721" s="27"/>
      <c r="AQ721" s="27"/>
      <c r="AR721" s="27"/>
      <c r="AS721" s="27"/>
    </row>
    <row r="722" spans="1:45" hidden="1">
      <c r="A722" s="89"/>
      <c r="B722" s="89"/>
      <c r="C722" s="89"/>
      <c r="D722" s="89"/>
      <c r="E722" s="89"/>
      <c r="F722" s="89"/>
      <c r="G722" s="89"/>
      <c r="H722" s="89"/>
      <c r="I722" s="89"/>
      <c r="J722" s="89"/>
      <c r="AN722" s="27"/>
      <c r="AO722" s="27"/>
      <c r="AP722" s="27"/>
      <c r="AQ722" s="27"/>
      <c r="AR722" s="27"/>
      <c r="AS722" s="27"/>
    </row>
    <row r="723" spans="1:45" hidden="1">
      <c r="A723" s="89"/>
      <c r="B723" s="89"/>
      <c r="C723" s="89"/>
      <c r="D723" s="89"/>
      <c r="E723" s="89"/>
      <c r="F723" s="89"/>
      <c r="G723" s="89"/>
      <c r="H723" s="89"/>
      <c r="I723" s="89"/>
      <c r="J723" s="89"/>
    </row>
    <row r="724" spans="1:45" hidden="1">
      <c r="A724" s="89"/>
      <c r="B724" s="89"/>
      <c r="C724" s="89"/>
      <c r="D724" s="89"/>
      <c r="E724" s="89"/>
      <c r="F724" s="89"/>
      <c r="G724" s="89"/>
      <c r="H724" s="89"/>
      <c r="I724" s="89"/>
      <c r="J724" s="89"/>
    </row>
    <row r="725" spans="1:45" hidden="1">
      <c r="A725" s="89"/>
      <c r="B725" s="89"/>
      <c r="C725" s="89"/>
      <c r="D725" s="89"/>
      <c r="E725" s="89"/>
      <c r="F725" s="89"/>
      <c r="G725" s="89"/>
      <c r="H725" s="89"/>
      <c r="I725" s="89"/>
      <c r="J725" s="89"/>
    </row>
    <row r="726" spans="1:45" hidden="1">
      <c r="A726" s="89"/>
      <c r="B726" s="89"/>
      <c r="C726" s="89"/>
      <c r="D726" s="89"/>
      <c r="E726" s="89"/>
      <c r="F726" s="89"/>
      <c r="G726" s="89"/>
      <c r="H726" s="89"/>
      <c r="I726" s="89"/>
      <c r="J726" s="89"/>
    </row>
    <row r="727" spans="1:45" hidden="1">
      <c r="A727" s="89"/>
      <c r="B727" s="89"/>
      <c r="C727" s="89"/>
      <c r="D727" s="89"/>
      <c r="E727" s="89"/>
      <c r="F727" s="89"/>
      <c r="G727" s="89"/>
      <c r="H727" s="89"/>
      <c r="I727" s="89"/>
      <c r="J727" s="89"/>
    </row>
    <row r="728" spans="1:45" hidden="1">
      <c r="A728" s="89"/>
      <c r="B728" s="89"/>
      <c r="C728" s="89"/>
      <c r="D728" s="89"/>
      <c r="E728" s="89"/>
      <c r="F728" s="89"/>
      <c r="G728" s="89"/>
      <c r="H728" s="89"/>
      <c r="I728" s="89"/>
      <c r="J728" s="89"/>
    </row>
    <row r="729" spans="1:45" hidden="1">
      <c r="A729" s="89"/>
      <c r="B729" s="89"/>
      <c r="C729" s="89"/>
      <c r="D729" s="89"/>
      <c r="E729" s="89"/>
      <c r="F729" s="89"/>
      <c r="G729" s="89"/>
      <c r="H729" s="89"/>
      <c r="I729" s="89"/>
      <c r="J729" s="89"/>
    </row>
    <row r="730" spans="1:45" hidden="1">
      <c r="A730" s="89"/>
      <c r="B730" s="89"/>
      <c r="C730" s="89"/>
      <c r="D730" s="89"/>
      <c r="E730" s="89"/>
      <c r="F730" s="89"/>
      <c r="G730" s="89"/>
      <c r="H730" s="89"/>
      <c r="I730" s="89"/>
      <c r="J730" s="89"/>
    </row>
    <row r="731" spans="1:45" hidden="1">
      <c r="A731" s="89"/>
      <c r="B731" s="89"/>
      <c r="C731" s="89"/>
      <c r="D731" s="89"/>
      <c r="E731" s="89"/>
      <c r="F731" s="89"/>
      <c r="G731" s="89"/>
      <c r="H731" s="89"/>
      <c r="I731" s="89"/>
      <c r="J731" s="89"/>
    </row>
    <row r="732" spans="1:45" hidden="1">
      <c r="A732" s="89"/>
      <c r="B732" s="89"/>
      <c r="C732" s="89"/>
      <c r="D732" s="89"/>
      <c r="E732" s="89"/>
      <c r="F732" s="89"/>
      <c r="G732" s="89"/>
      <c r="H732" s="89"/>
      <c r="I732" s="89"/>
      <c r="J732" s="89"/>
    </row>
    <row r="733" spans="1:45" hidden="1">
      <c r="A733" s="89"/>
      <c r="B733" s="89"/>
      <c r="C733" s="89"/>
      <c r="D733" s="89"/>
      <c r="E733" s="89"/>
      <c r="F733" s="89"/>
      <c r="G733" s="89"/>
      <c r="H733" s="89"/>
      <c r="I733" s="89"/>
      <c r="J733" s="89"/>
    </row>
    <row r="734" spans="1:45" hidden="1">
      <c r="A734" s="89"/>
      <c r="B734" s="89"/>
      <c r="C734" s="89"/>
      <c r="D734" s="89"/>
      <c r="E734" s="89"/>
      <c r="F734" s="89"/>
      <c r="G734" s="89"/>
      <c r="H734" s="89"/>
      <c r="I734" s="89"/>
      <c r="J734" s="89"/>
    </row>
    <row r="735" spans="1:45" hidden="1">
      <c r="A735" s="89"/>
      <c r="B735" s="89"/>
      <c r="C735" s="89"/>
      <c r="D735" s="89"/>
      <c r="E735" s="89"/>
      <c r="F735" s="89"/>
      <c r="G735" s="89"/>
      <c r="H735" s="89"/>
      <c r="I735" s="89"/>
      <c r="J735" s="89"/>
    </row>
    <row r="736" spans="1:45" hidden="1">
      <c r="A736" s="89"/>
      <c r="B736" s="89"/>
      <c r="C736" s="89"/>
      <c r="D736" s="89"/>
      <c r="E736" s="89"/>
      <c r="F736" s="89"/>
      <c r="G736" s="89"/>
      <c r="H736" s="89"/>
      <c r="I736" s="89"/>
      <c r="J736" s="89"/>
    </row>
    <row r="737" spans="1:10" hidden="1">
      <c r="A737" s="89"/>
      <c r="B737" s="89"/>
      <c r="C737" s="89"/>
      <c r="D737" s="89"/>
      <c r="E737" s="89"/>
      <c r="F737" s="89"/>
      <c r="G737" s="89"/>
      <c r="H737" s="89"/>
      <c r="I737" s="89"/>
      <c r="J737" s="89"/>
    </row>
    <row r="738" spans="1:10" hidden="1">
      <c r="A738" s="89"/>
      <c r="B738" s="89"/>
      <c r="C738" s="89"/>
      <c r="D738" s="89"/>
      <c r="E738" s="89"/>
      <c r="F738" s="89"/>
      <c r="G738" s="89"/>
      <c r="H738" s="89"/>
      <c r="I738" s="89"/>
      <c r="J738" s="89"/>
    </row>
    <row r="739" spans="1:10" hidden="1">
      <c r="A739" s="89"/>
      <c r="B739" s="89"/>
      <c r="C739" s="89"/>
      <c r="D739" s="89"/>
      <c r="E739" s="89"/>
      <c r="F739" s="89"/>
      <c r="G739" s="89"/>
      <c r="H739" s="89"/>
      <c r="I739" s="89"/>
      <c r="J739" s="89"/>
    </row>
    <row r="740" spans="1:10" hidden="1">
      <c r="A740" s="89"/>
      <c r="B740" s="89"/>
      <c r="C740" s="89"/>
      <c r="D740" s="89"/>
      <c r="E740" s="89"/>
      <c r="F740" s="89"/>
      <c r="G740" s="89"/>
      <c r="H740" s="89"/>
      <c r="I740" s="89"/>
      <c r="J740" s="89"/>
    </row>
    <row r="741" spans="1:10" hidden="1">
      <c r="A741" s="89"/>
      <c r="B741" s="89"/>
      <c r="C741" s="89"/>
      <c r="D741" s="89"/>
      <c r="E741" s="89"/>
      <c r="F741" s="89"/>
      <c r="G741" s="89"/>
      <c r="H741" s="89"/>
      <c r="I741" s="89"/>
      <c r="J741" s="89"/>
    </row>
    <row r="742" spans="1:10" hidden="1">
      <c r="A742" s="89"/>
      <c r="B742" s="89"/>
      <c r="C742" s="89"/>
      <c r="D742" s="89"/>
      <c r="E742" s="89"/>
      <c r="F742" s="89"/>
      <c r="G742" s="89"/>
      <c r="H742" s="89"/>
      <c r="I742" s="89"/>
      <c r="J742" s="89"/>
    </row>
    <row r="743" spans="1:10" hidden="1">
      <c r="A743" s="89"/>
      <c r="B743" s="89"/>
      <c r="C743" s="89"/>
      <c r="D743" s="89"/>
      <c r="E743" s="89"/>
      <c r="F743" s="89"/>
      <c r="G743" s="89"/>
      <c r="H743" s="89"/>
      <c r="I743" s="89"/>
      <c r="J743" s="89"/>
    </row>
    <row r="744" spans="1:10" hidden="1">
      <c r="A744" s="89"/>
      <c r="B744" s="89"/>
      <c r="C744" s="89"/>
      <c r="D744" s="89"/>
      <c r="E744" s="89"/>
      <c r="F744" s="89"/>
      <c r="G744" s="89"/>
      <c r="H744" s="89"/>
      <c r="I744" s="89"/>
      <c r="J744" s="89"/>
    </row>
    <row r="745" spans="1:10" hidden="1">
      <c r="A745" s="89"/>
      <c r="B745" s="89"/>
      <c r="C745" s="89"/>
      <c r="D745" s="89"/>
      <c r="E745" s="89"/>
      <c r="F745" s="89"/>
      <c r="G745" s="89"/>
      <c r="H745" s="89"/>
      <c r="I745" s="89"/>
      <c r="J745" s="89"/>
    </row>
    <row r="746" spans="1:10" hidden="1">
      <c r="A746" s="89"/>
      <c r="B746" s="89"/>
      <c r="C746" s="89"/>
      <c r="D746" s="89"/>
      <c r="E746" s="89"/>
      <c r="F746" s="89"/>
      <c r="G746" s="89"/>
      <c r="H746" s="89"/>
      <c r="I746" s="89"/>
      <c r="J746" s="89"/>
    </row>
    <row r="747" spans="1:10" hidden="1">
      <c r="A747" s="89"/>
      <c r="B747" s="89"/>
      <c r="C747" s="89"/>
      <c r="D747" s="89"/>
      <c r="E747" s="89"/>
      <c r="F747" s="89"/>
      <c r="G747" s="89"/>
      <c r="H747" s="89"/>
      <c r="I747" s="89"/>
      <c r="J747" s="89"/>
    </row>
    <row r="748" spans="1:10" hidden="1">
      <c r="A748" s="89"/>
      <c r="B748" s="89"/>
      <c r="C748" s="89"/>
      <c r="D748" s="89"/>
      <c r="E748" s="89"/>
      <c r="F748" s="89"/>
      <c r="G748" s="89"/>
      <c r="H748" s="89"/>
      <c r="I748" s="89"/>
      <c r="J748" s="89"/>
    </row>
    <row r="749" spans="1:10" hidden="1">
      <c r="A749" s="89"/>
      <c r="B749" s="89"/>
      <c r="C749" s="89"/>
      <c r="D749" s="89"/>
      <c r="E749" s="89"/>
      <c r="F749" s="89"/>
      <c r="G749" s="89"/>
      <c r="H749" s="89"/>
      <c r="I749" s="89"/>
      <c r="J749" s="89"/>
    </row>
    <row r="750" spans="1:10" hidden="1">
      <c r="A750" s="89"/>
      <c r="B750" s="89"/>
      <c r="C750" s="89"/>
      <c r="D750" s="89"/>
      <c r="E750" s="89"/>
      <c r="F750" s="89"/>
      <c r="G750" s="89"/>
      <c r="H750" s="89"/>
      <c r="I750" s="89"/>
      <c r="J750" s="89"/>
    </row>
    <row r="751" spans="1:10" hidden="1">
      <c r="A751" s="89"/>
      <c r="B751" s="89"/>
      <c r="C751" s="89"/>
      <c r="D751" s="89"/>
      <c r="E751" s="89"/>
      <c r="F751" s="89"/>
      <c r="G751" s="89"/>
      <c r="H751" s="89"/>
      <c r="I751" s="89"/>
      <c r="J751" s="89"/>
    </row>
    <row r="752" spans="1:10" hidden="1">
      <c r="A752" s="89"/>
      <c r="B752" s="89"/>
      <c r="C752" s="89"/>
      <c r="D752" s="89"/>
      <c r="E752" s="89"/>
      <c r="F752" s="89"/>
      <c r="G752" s="89"/>
      <c r="H752" s="89"/>
      <c r="I752" s="89"/>
      <c r="J752" s="89"/>
    </row>
    <row r="753" spans="1:10" hidden="1">
      <c r="A753" s="89"/>
      <c r="B753" s="89"/>
      <c r="C753" s="89"/>
      <c r="D753" s="89"/>
      <c r="E753" s="89"/>
      <c r="F753" s="89"/>
      <c r="G753" s="89"/>
      <c r="H753" s="89"/>
      <c r="I753" s="89"/>
      <c r="J753" s="89"/>
    </row>
    <row r="754" spans="1:10" hidden="1">
      <c r="A754" s="89"/>
      <c r="B754" s="89"/>
      <c r="C754" s="89"/>
      <c r="D754" s="89"/>
      <c r="E754" s="89"/>
      <c r="F754" s="89"/>
      <c r="G754" s="89"/>
      <c r="H754" s="89"/>
      <c r="I754" s="89"/>
      <c r="J754" s="89"/>
    </row>
    <row r="755" spans="1:10" hidden="1">
      <c r="A755" s="89"/>
      <c r="B755" s="89"/>
      <c r="C755" s="89"/>
      <c r="D755" s="89"/>
      <c r="E755" s="89"/>
      <c r="F755" s="89"/>
      <c r="G755" s="89"/>
      <c r="H755" s="89"/>
      <c r="I755" s="89"/>
      <c r="J755" s="89"/>
    </row>
    <row r="756" spans="1:10" hidden="1">
      <c r="A756" s="89"/>
      <c r="B756" s="89"/>
      <c r="C756" s="89"/>
      <c r="D756" s="89"/>
      <c r="E756" s="89"/>
      <c r="F756" s="89"/>
      <c r="G756" s="89"/>
      <c r="H756" s="89"/>
      <c r="I756" s="89"/>
      <c r="J756" s="89"/>
    </row>
    <row r="757" spans="1:10" hidden="1">
      <c r="A757" s="89"/>
      <c r="B757" s="89"/>
      <c r="C757" s="89"/>
      <c r="D757" s="89"/>
      <c r="E757" s="89"/>
      <c r="F757" s="89"/>
      <c r="G757" s="89"/>
      <c r="H757" s="89"/>
      <c r="I757" s="89"/>
      <c r="J757" s="89"/>
    </row>
    <row r="758" spans="1:10" hidden="1">
      <c r="A758" s="89"/>
      <c r="B758" s="89"/>
      <c r="C758" s="89"/>
      <c r="D758" s="89"/>
      <c r="E758" s="89"/>
      <c r="F758" s="89"/>
      <c r="G758" s="89"/>
      <c r="H758" s="89"/>
      <c r="I758" s="89"/>
      <c r="J758" s="89"/>
    </row>
    <row r="759" spans="1:10" hidden="1">
      <c r="A759" s="89"/>
      <c r="B759" s="89"/>
      <c r="C759" s="89"/>
      <c r="D759" s="89"/>
      <c r="E759" s="89"/>
      <c r="F759" s="89"/>
      <c r="G759" s="89"/>
      <c r="H759" s="89"/>
      <c r="I759" s="89"/>
      <c r="J759" s="89"/>
    </row>
    <row r="760" spans="1:10" hidden="1">
      <c r="A760" s="89"/>
      <c r="B760" s="89"/>
      <c r="C760" s="89"/>
      <c r="D760" s="89"/>
      <c r="E760" s="89"/>
      <c r="F760" s="89"/>
      <c r="G760" s="89"/>
      <c r="H760" s="89"/>
      <c r="I760" s="89"/>
      <c r="J760" s="89"/>
    </row>
    <row r="761" spans="1:10" hidden="1">
      <c r="A761" s="89"/>
      <c r="B761" s="89"/>
      <c r="C761" s="89"/>
      <c r="D761" s="89"/>
      <c r="E761" s="89"/>
      <c r="F761" s="89"/>
      <c r="G761" s="89"/>
      <c r="H761" s="89"/>
      <c r="I761" s="89"/>
      <c r="J761" s="89"/>
    </row>
    <row r="762" spans="1:10" hidden="1">
      <c r="A762" s="89"/>
      <c r="B762" s="89"/>
      <c r="C762" s="89"/>
      <c r="D762" s="89"/>
      <c r="E762" s="89"/>
      <c r="F762" s="89"/>
      <c r="G762" s="89"/>
      <c r="H762" s="89"/>
      <c r="I762" s="89"/>
      <c r="J762" s="89"/>
    </row>
    <row r="763" spans="1:10" hidden="1">
      <c r="A763" s="89"/>
      <c r="B763" s="89"/>
      <c r="C763" s="89"/>
      <c r="D763" s="89"/>
      <c r="E763" s="89"/>
      <c r="F763" s="89"/>
      <c r="G763" s="89"/>
      <c r="H763" s="89"/>
      <c r="I763" s="89"/>
      <c r="J763" s="89"/>
    </row>
    <row r="764" spans="1:10" hidden="1">
      <c r="A764" s="89"/>
      <c r="B764" s="89"/>
      <c r="C764" s="89"/>
      <c r="D764" s="89"/>
      <c r="E764" s="89"/>
      <c r="F764" s="89"/>
      <c r="G764" s="89"/>
      <c r="H764" s="89"/>
      <c r="I764" s="89"/>
      <c r="J764" s="89"/>
    </row>
    <row r="765" spans="1:10" hidden="1">
      <c r="A765" s="89"/>
      <c r="B765" s="89"/>
      <c r="C765" s="89"/>
      <c r="D765" s="89"/>
      <c r="E765" s="89"/>
      <c r="F765" s="89"/>
      <c r="G765" s="89"/>
      <c r="H765" s="89"/>
      <c r="I765" s="89"/>
      <c r="J765" s="89"/>
    </row>
    <row r="766" spans="1:10" hidden="1">
      <c r="A766" s="89"/>
      <c r="B766" s="89"/>
      <c r="C766" s="89"/>
      <c r="D766" s="89"/>
      <c r="E766" s="89"/>
      <c r="F766" s="89"/>
      <c r="G766" s="89"/>
      <c r="H766" s="89"/>
      <c r="I766" s="89"/>
      <c r="J766" s="89"/>
    </row>
    <row r="767" spans="1:10" hidden="1">
      <c r="A767" s="89"/>
      <c r="B767" s="89"/>
      <c r="C767" s="89"/>
      <c r="D767" s="89"/>
      <c r="E767" s="89"/>
      <c r="F767" s="89"/>
      <c r="G767" s="89"/>
      <c r="H767" s="89"/>
      <c r="I767" s="89"/>
      <c r="J767" s="89"/>
    </row>
    <row r="768" spans="1:10" hidden="1">
      <c r="A768" s="89"/>
      <c r="B768" s="89"/>
      <c r="C768" s="89"/>
      <c r="D768" s="89"/>
      <c r="E768" s="89"/>
      <c r="F768" s="89"/>
      <c r="G768" s="89"/>
      <c r="H768" s="89"/>
      <c r="I768" s="89"/>
      <c r="J768" s="89"/>
    </row>
    <row r="769" spans="1:12" hidden="1">
      <c r="A769" s="89"/>
      <c r="B769" s="89"/>
      <c r="C769" s="89"/>
      <c r="D769" s="89"/>
      <c r="E769" s="89"/>
      <c r="F769" s="89"/>
      <c r="G769" s="89"/>
      <c r="H769" s="89"/>
      <c r="I769" s="89"/>
      <c r="J769" s="89"/>
    </row>
    <row r="770" spans="1:12" hidden="1">
      <c r="A770" s="89"/>
      <c r="B770" s="89"/>
      <c r="C770" s="89"/>
      <c r="D770" s="89"/>
      <c r="E770" s="89"/>
      <c r="F770" s="89"/>
      <c r="G770" s="89"/>
      <c r="H770" s="89"/>
      <c r="I770" s="89"/>
      <c r="J770" s="89"/>
    </row>
    <row r="771" spans="1:12" hidden="1">
      <c r="A771" s="89"/>
      <c r="B771" s="89"/>
      <c r="C771" s="89"/>
      <c r="D771" s="89"/>
      <c r="E771" s="89"/>
      <c r="F771" s="89"/>
      <c r="G771" s="89"/>
      <c r="H771" s="89"/>
      <c r="I771" s="89"/>
      <c r="J771" s="89"/>
    </row>
    <row r="772" spans="1:12" hidden="1">
      <c r="A772" s="89"/>
      <c r="B772" s="89"/>
      <c r="C772" s="89"/>
      <c r="D772" s="89"/>
      <c r="E772" s="89"/>
      <c r="F772" s="89"/>
      <c r="G772" s="89"/>
      <c r="H772" s="89"/>
      <c r="I772" s="89"/>
      <c r="J772" s="89"/>
    </row>
    <row r="773" spans="1:12">
      <c r="A773" s="89"/>
      <c r="B773" s="89"/>
      <c r="C773" s="89"/>
      <c r="D773" s="89"/>
      <c r="E773" s="89"/>
      <c r="F773" s="89"/>
      <c r="G773" s="89"/>
      <c r="H773" s="89"/>
      <c r="I773" s="89"/>
      <c r="J773" s="89"/>
    </row>
    <row r="774" spans="1:12">
      <c r="A774" s="89"/>
      <c r="B774" s="89"/>
      <c r="C774" s="89"/>
      <c r="D774" s="89"/>
      <c r="E774" s="89"/>
      <c r="F774" s="89"/>
      <c r="G774" s="89"/>
      <c r="H774" s="89"/>
      <c r="I774" s="89"/>
      <c r="J774" s="89"/>
    </row>
    <row r="775" spans="1:12">
      <c r="A775" s="89"/>
      <c r="B775" s="89"/>
      <c r="C775" s="89"/>
      <c r="D775" s="89"/>
      <c r="E775" s="89"/>
      <c r="F775" s="89"/>
      <c r="G775" s="89"/>
      <c r="H775" s="89"/>
      <c r="I775" s="89"/>
      <c r="J775" s="89"/>
    </row>
    <row r="776" spans="1:12" hidden="1">
      <c r="A776" s="89"/>
      <c r="B776" s="89"/>
      <c r="C776" s="89"/>
      <c r="D776" s="89"/>
      <c r="E776" s="89"/>
      <c r="F776" s="89"/>
      <c r="G776" s="89"/>
      <c r="H776" s="89"/>
      <c r="I776" s="89"/>
      <c r="J776" s="89"/>
    </row>
    <row r="777" spans="1:12" hidden="1">
      <c r="A777" s="89"/>
      <c r="B777" s="89"/>
      <c r="C777" s="89"/>
      <c r="D777" s="89"/>
      <c r="E777" s="89"/>
      <c r="F777" s="89"/>
      <c r="G777" s="89"/>
      <c r="H777" s="89"/>
      <c r="I777" s="89"/>
      <c r="J777" s="89"/>
    </row>
    <row r="778" spans="1:12" hidden="1">
      <c r="A778" s="89"/>
      <c r="B778" s="89"/>
      <c r="C778" s="89"/>
      <c r="D778" s="89" t="s">
        <v>78</v>
      </c>
      <c r="E778" s="89"/>
      <c r="F778" s="89"/>
      <c r="G778" s="89"/>
      <c r="H778" s="89"/>
      <c r="I778" s="89"/>
      <c r="J778" s="89"/>
    </row>
    <row r="779" spans="1:12" hidden="1">
      <c r="A779" s="89"/>
      <c r="B779" s="89"/>
      <c r="C779" s="198" t="s">
        <v>77</v>
      </c>
      <c r="D779" s="198" t="s">
        <v>79</v>
      </c>
      <c r="E779" s="198" t="s">
        <v>79</v>
      </c>
      <c r="F779" s="198" t="s">
        <v>80</v>
      </c>
      <c r="G779" s="198" t="s">
        <v>95</v>
      </c>
      <c r="H779" s="198" t="s">
        <v>96</v>
      </c>
      <c r="I779" s="198" t="s">
        <v>97</v>
      </c>
      <c r="J779" s="198" t="s">
        <v>186</v>
      </c>
      <c r="K779" s="199" t="s">
        <v>236</v>
      </c>
      <c r="L779" s="199" t="s">
        <v>218</v>
      </c>
    </row>
    <row r="780" spans="1:12" ht="14.4" hidden="1">
      <c r="A780" s="89"/>
      <c r="B780" s="179" t="s">
        <v>156</v>
      </c>
      <c r="C780" s="328">
        <v>29224340</v>
      </c>
      <c r="D780" s="329">
        <v>32283779</v>
      </c>
      <c r="E780" s="328">
        <v>32283779</v>
      </c>
      <c r="F780" s="328">
        <v>36103656</v>
      </c>
      <c r="G780" s="328">
        <v>36088740</v>
      </c>
      <c r="H780" s="328">
        <v>39072483</v>
      </c>
      <c r="I780" s="330">
        <v>39564221</v>
      </c>
      <c r="J780" s="328">
        <v>40652318</v>
      </c>
      <c r="K780" s="383">
        <v>43026190</v>
      </c>
      <c r="L780" s="331">
        <v>45538272.107807383</v>
      </c>
    </row>
    <row r="781" spans="1:12" ht="14.4" hidden="1">
      <c r="A781" s="89"/>
      <c r="B781" s="179" t="s">
        <v>157</v>
      </c>
      <c r="C781" s="328">
        <v>29224340</v>
      </c>
      <c r="D781" s="329">
        <v>32283779</v>
      </c>
      <c r="E781" s="328">
        <v>32283779</v>
      </c>
      <c r="F781" s="328">
        <v>36103656</v>
      </c>
      <c r="G781" s="328">
        <v>36088740</v>
      </c>
      <c r="H781" s="328">
        <v>39072483</v>
      </c>
      <c r="I781" s="330">
        <v>39564221</v>
      </c>
      <c r="J781" s="328">
        <v>40652318</v>
      </c>
      <c r="K781" s="383">
        <v>43026190</v>
      </c>
      <c r="L781" s="331">
        <v>45538272.107807383</v>
      </c>
    </row>
    <row r="782" spans="1:12" ht="14.4" hidden="1">
      <c r="A782" s="89"/>
      <c r="B782" s="179" t="s">
        <v>158</v>
      </c>
      <c r="C782" s="328">
        <v>29224340</v>
      </c>
      <c r="D782" s="329">
        <v>32283779</v>
      </c>
      <c r="E782" s="328">
        <v>32283779</v>
      </c>
      <c r="F782" s="328">
        <v>36103656</v>
      </c>
      <c r="G782" s="328">
        <v>36088740</v>
      </c>
      <c r="H782" s="328">
        <v>39072483</v>
      </c>
      <c r="I782" s="330">
        <v>39564221</v>
      </c>
      <c r="J782" s="328">
        <v>40652318</v>
      </c>
      <c r="K782" s="383">
        <v>43026190</v>
      </c>
      <c r="L782" s="331">
        <v>45538272.107807383</v>
      </c>
    </row>
    <row r="783" spans="1:12" ht="14.4" hidden="1">
      <c r="A783" s="89"/>
      <c r="B783" s="179" t="s">
        <v>159</v>
      </c>
      <c r="C783" s="328">
        <v>29224340</v>
      </c>
      <c r="D783" s="329">
        <v>32283779</v>
      </c>
      <c r="E783" s="328">
        <v>32283779</v>
      </c>
      <c r="F783" s="328">
        <v>36103656</v>
      </c>
      <c r="G783" s="328">
        <v>36088740</v>
      </c>
      <c r="H783" s="328">
        <v>39072483</v>
      </c>
      <c r="I783" s="330">
        <v>39564221</v>
      </c>
      <c r="J783" s="328">
        <v>40652318</v>
      </c>
      <c r="K783" s="383">
        <v>43026190</v>
      </c>
      <c r="L783" s="331">
        <v>45538272.107807383</v>
      </c>
    </row>
    <row r="784" spans="1:12" ht="14.4" hidden="1">
      <c r="A784" s="89"/>
      <c r="B784" s="179" t="s">
        <v>160</v>
      </c>
      <c r="C784" s="328">
        <v>29224340</v>
      </c>
      <c r="D784" s="329">
        <v>32283779</v>
      </c>
      <c r="E784" s="328">
        <v>32283779</v>
      </c>
      <c r="F784" s="328">
        <v>36103656</v>
      </c>
      <c r="G784" s="328">
        <v>36088740</v>
      </c>
      <c r="H784" s="328">
        <v>39072483</v>
      </c>
      <c r="I784" s="330">
        <v>39564221</v>
      </c>
      <c r="J784" s="328">
        <v>40652318</v>
      </c>
      <c r="K784" s="383">
        <v>43026190</v>
      </c>
      <c r="L784" s="331">
        <v>45538272.107807383</v>
      </c>
    </row>
    <row r="785" spans="1:13" ht="14.4" hidden="1">
      <c r="A785" s="89"/>
      <c r="B785" s="179" t="s">
        <v>161</v>
      </c>
      <c r="C785" s="328">
        <v>29224340</v>
      </c>
      <c r="D785" s="329">
        <v>32283779</v>
      </c>
      <c r="E785" s="328">
        <v>32283779</v>
      </c>
      <c r="F785" s="328">
        <v>36103656</v>
      </c>
      <c r="G785" s="328">
        <v>36088740</v>
      </c>
      <c r="H785" s="328">
        <v>39072483</v>
      </c>
      <c r="I785" s="330">
        <v>39564221</v>
      </c>
      <c r="J785" s="328">
        <v>40652318</v>
      </c>
      <c r="K785" s="383">
        <v>43026190</v>
      </c>
      <c r="L785" s="331">
        <v>45538272.107807383</v>
      </c>
    </row>
    <row r="786" spans="1:13" ht="14.4" hidden="1">
      <c r="A786" s="89"/>
      <c r="B786" s="179" t="s">
        <v>162</v>
      </c>
      <c r="C786" s="328">
        <v>29224340</v>
      </c>
      <c r="D786" s="329">
        <v>32283779</v>
      </c>
      <c r="E786" s="328">
        <v>32283779</v>
      </c>
      <c r="F786" s="328">
        <v>36103656</v>
      </c>
      <c r="G786" s="328">
        <v>36088740</v>
      </c>
      <c r="H786" s="328">
        <v>39072483</v>
      </c>
      <c r="I786" s="330">
        <v>39564221</v>
      </c>
      <c r="J786" s="328">
        <v>40652318</v>
      </c>
      <c r="K786" s="383">
        <v>43026190</v>
      </c>
      <c r="L786" s="331">
        <v>45538272.107807383</v>
      </c>
    </row>
    <row r="787" spans="1:13" ht="14.4" hidden="1">
      <c r="A787" s="89"/>
      <c r="B787" s="179" t="s">
        <v>163</v>
      </c>
      <c r="C787" s="328">
        <v>29224340</v>
      </c>
      <c r="D787" s="329">
        <v>32283779</v>
      </c>
      <c r="E787" s="328">
        <v>32283779</v>
      </c>
      <c r="F787" s="328">
        <v>36103656</v>
      </c>
      <c r="G787" s="328">
        <v>36088740</v>
      </c>
      <c r="H787" s="328">
        <v>39072483</v>
      </c>
      <c r="I787" s="330">
        <v>39564221</v>
      </c>
      <c r="J787" s="328">
        <v>40652318</v>
      </c>
      <c r="K787" s="383">
        <v>43026190</v>
      </c>
      <c r="L787" s="331">
        <v>45538272.107807383</v>
      </c>
    </row>
    <row r="788" spans="1:13" ht="14.4" hidden="1">
      <c r="A788" s="89"/>
      <c r="B788" s="179" t="s">
        <v>164</v>
      </c>
      <c r="C788" s="328">
        <v>29224340</v>
      </c>
      <c r="D788" s="329">
        <v>32283779</v>
      </c>
      <c r="E788" s="328">
        <v>32283779</v>
      </c>
      <c r="F788" s="328">
        <v>36103656</v>
      </c>
      <c r="G788" s="328">
        <v>36088740</v>
      </c>
      <c r="H788" s="328">
        <v>39072483</v>
      </c>
      <c r="I788" s="330">
        <v>39564221</v>
      </c>
      <c r="J788" s="328">
        <v>40652318</v>
      </c>
      <c r="K788" s="383">
        <v>43026190</v>
      </c>
      <c r="L788" s="331">
        <v>45538272.107807383</v>
      </c>
    </row>
    <row r="789" spans="1:13" ht="14.4" hidden="1">
      <c r="A789" s="89"/>
      <c r="B789" s="179" t="s">
        <v>165</v>
      </c>
      <c r="C789" s="328">
        <v>29224340</v>
      </c>
      <c r="D789" s="329">
        <v>32283779</v>
      </c>
      <c r="E789" s="328">
        <v>32283779</v>
      </c>
      <c r="F789" s="328">
        <v>36103656</v>
      </c>
      <c r="G789" s="328">
        <v>36088740</v>
      </c>
      <c r="H789" s="328">
        <v>39072483</v>
      </c>
      <c r="I789" s="330">
        <v>39564221</v>
      </c>
      <c r="J789" s="328">
        <v>40652318</v>
      </c>
      <c r="K789" s="383">
        <v>43026190</v>
      </c>
      <c r="L789" s="331">
        <v>45538272.107807383</v>
      </c>
    </row>
    <row r="790" spans="1:13" ht="14.4" hidden="1">
      <c r="A790" s="89"/>
      <c r="B790" s="179" t="s">
        <v>166</v>
      </c>
      <c r="C790" s="328">
        <v>29224340</v>
      </c>
      <c r="D790" s="329">
        <v>32283779</v>
      </c>
      <c r="E790" s="328">
        <v>32283779</v>
      </c>
      <c r="F790" s="328">
        <v>36103656</v>
      </c>
      <c r="G790" s="328">
        <v>36088740</v>
      </c>
      <c r="H790" s="328">
        <v>39072483</v>
      </c>
      <c r="I790" s="330">
        <v>39564221</v>
      </c>
      <c r="J790" s="328">
        <v>40652318</v>
      </c>
      <c r="K790" s="383">
        <v>43026190</v>
      </c>
      <c r="L790" s="331">
        <v>45538272.107807383</v>
      </c>
    </row>
    <row r="791" spans="1:13" ht="14.4" hidden="1">
      <c r="A791" s="89"/>
      <c r="B791" s="179" t="s">
        <v>167</v>
      </c>
      <c r="C791" s="328">
        <v>29224340</v>
      </c>
      <c r="D791" s="329">
        <v>32283779</v>
      </c>
      <c r="E791" s="328">
        <v>32283779</v>
      </c>
      <c r="F791" s="328">
        <v>36103656</v>
      </c>
      <c r="G791" s="328">
        <v>36088740</v>
      </c>
      <c r="H791" s="328">
        <v>39072483</v>
      </c>
      <c r="I791" s="330">
        <v>39564221</v>
      </c>
      <c r="J791" s="328">
        <v>40652318</v>
      </c>
      <c r="K791" s="383">
        <v>43026190</v>
      </c>
      <c r="L791" s="331">
        <v>45538272.107807383</v>
      </c>
    </row>
    <row r="792" spans="1:13" hidden="1">
      <c r="A792" s="89"/>
      <c r="B792" s="89"/>
      <c r="C792" s="89"/>
      <c r="D792" s="89"/>
      <c r="E792" s="89"/>
      <c r="F792" s="89"/>
      <c r="G792" s="89"/>
      <c r="H792" s="89"/>
      <c r="I792" s="89"/>
      <c r="J792" s="89"/>
    </row>
    <row r="793" spans="1:13" hidden="1">
      <c r="A793" s="89"/>
      <c r="B793" s="89"/>
      <c r="C793" s="89"/>
      <c r="D793" s="89"/>
      <c r="E793" s="89"/>
      <c r="F793" s="89"/>
      <c r="G793" s="89"/>
      <c r="H793" s="89"/>
      <c r="I793" s="89"/>
      <c r="J793" s="89"/>
    </row>
    <row r="794" spans="1:13" ht="15" hidden="1" thickBot="1">
      <c r="A794" s="89"/>
      <c r="B794" s="89"/>
      <c r="C794" s="89"/>
      <c r="D794" s="89"/>
      <c r="E794" s="89"/>
      <c r="F794" s="89"/>
      <c r="G794" s="89"/>
      <c r="H794" s="89"/>
      <c r="I794" s="175" t="s">
        <v>241</v>
      </c>
      <c r="J794" s="176"/>
      <c r="K794" s="176"/>
      <c r="L794" s="177"/>
      <c r="M794" s="177"/>
    </row>
    <row r="795" spans="1:13" ht="15.6" hidden="1" thickTop="1" thickBot="1">
      <c r="A795" s="334">
        <v>36</v>
      </c>
      <c r="B795" s="335">
        <v>48</v>
      </c>
      <c r="C795" s="335">
        <v>60</v>
      </c>
      <c r="D795" s="336">
        <v>72</v>
      </c>
      <c r="E795" s="89"/>
      <c r="F795" s="89"/>
      <c r="G795" s="89"/>
      <c r="H795" s="89"/>
      <c r="I795" s="149" t="s">
        <v>214</v>
      </c>
      <c r="J795" s="89"/>
    </row>
    <row r="796" spans="1:13" ht="15" hidden="1" thickTop="1">
      <c r="A796" s="89"/>
      <c r="B796" s="89"/>
      <c r="C796" s="89"/>
      <c r="D796" s="89"/>
      <c r="E796" s="89"/>
      <c r="F796" s="89"/>
      <c r="G796" s="89"/>
      <c r="H796" s="89"/>
      <c r="I796" s="286" t="s">
        <v>242</v>
      </c>
      <c r="J796" s="89"/>
    </row>
    <row r="797" spans="1:13" hidden="1">
      <c r="A797" s="89"/>
      <c r="B797" s="89"/>
      <c r="C797" s="89"/>
      <c r="D797" s="89"/>
      <c r="E797" s="89"/>
      <c r="F797" s="89"/>
      <c r="G797" s="89"/>
      <c r="H797" s="89"/>
      <c r="I797" s="89"/>
      <c r="J797" s="89"/>
    </row>
    <row r="798" spans="1:13" hidden="1">
      <c r="A798" s="89"/>
      <c r="B798" s="89"/>
      <c r="C798" s="89"/>
      <c r="D798" s="89"/>
      <c r="E798" s="89"/>
      <c r="F798" s="89"/>
      <c r="G798" s="89"/>
      <c r="H798" s="89"/>
      <c r="I798" s="89"/>
      <c r="J798" s="89"/>
    </row>
    <row r="799" spans="1:13" hidden="1">
      <c r="A799" s="89"/>
      <c r="B799" s="89"/>
      <c r="C799" s="89"/>
      <c r="D799" s="89"/>
      <c r="E799" s="89"/>
      <c r="F799" s="89"/>
      <c r="G799" s="89"/>
      <c r="H799" s="89"/>
      <c r="I799" s="89"/>
      <c r="J799" s="89"/>
    </row>
    <row r="800" spans="1:13" hidden="1">
      <c r="A800" s="89"/>
      <c r="B800" s="89"/>
      <c r="C800" s="89"/>
      <c r="D800" s="89"/>
      <c r="E800" s="89"/>
      <c r="F800" s="89"/>
      <c r="G800" s="89"/>
      <c r="H800" s="89"/>
      <c r="I800" s="89"/>
      <c r="J800" s="89"/>
    </row>
    <row r="801" spans="1:10" hidden="1">
      <c r="A801" s="89"/>
      <c r="B801" s="89"/>
      <c r="C801" s="89"/>
      <c r="D801" s="89"/>
      <c r="E801" s="89"/>
      <c r="F801" s="89"/>
      <c r="G801" s="89"/>
      <c r="H801" s="89"/>
      <c r="I801" s="89"/>
      <c r="J801" s="89"/>
    </row>
  </sheetData>
  <mergeCells count="29">
    <mergeCell ref="B554:D554"/>
    <mergeCell ref="E554:G554"/>
    <mergeCell ref="H554:J554"/>
    <mergeCell ref="A481:J481"/>
    <mergeCell ref="B482:D482"/>
    <mergeCell ref="E482:G482"/>
    <mergeCell ref="H482:J482"/>
    <mergeCell ref="A553:J553"/>
    <mergeCell ref="A1:J1"/>
    <mergeCell ref="A74:J74"/>
    <mergeCell ref="B75:D75"/>
    <mergeCell ref="E75:G75"/>
    <mergeCell ref="H75:J75"/>
    <mergeCell ref="A147:H147"/>
    <mergeCell ref="B409:D409"/>
    <mergeCell ref="E409:G409"/>
    <mergeCell ref="H409:J409"/>
    <mergeCell ref="A189:J189"/>
    <mergeCell ref="A262:J262"/>
    <mergeCell ref="A335:J335"/>
    <mergeCell ref="A408:J408"/>
    <mergeCell ref="B263:D263"/>
    <mergeCell ref="E263:G263"/>
    <mergeCell ref="H263:J263"/>
    <mergeCell ref="B701:D701"/>
    <mergeCell ref="E701:G701"/>
    <mergeCell ref="H701:J701"/>
    <mergeCell ref="A627:J627"/>
    <mergeCell ref="A700:J700"/>
  </mergeCells>
  <phoneticPr fontId="86" type="noConversion"/>
  <conditionalFormatting sqref="H6:J17">
    <cfRule type="colorScale" priority="10">
      <colorScale>
        <cfvo type="min"/>
        <cfvo type="num" val="0"/>
        <cfvo type="max"/>
        <color rgb="FFF8696B"/>
        <color theme="0"/>
        <color rgb="FF63BE7B"/>
      </colorScale>
    </cfRule>
  </conditionalFormatting>
  <conditionalFormatting sqref="H79:J90">
    <cfRule type="colorScale" priority="9">
      <colorScale>
        <cfvo type="min"/>
        <cfvo type="num" val="0"/>
        <cfvo type="max"/>
        <color rgb="FFF8696B"/>
        <color theme="0"/>
        <color rgb="FF63BE7B"/>
      </colorScale>
    </cfRule>
  </conditionalFormatting>
  <conditionalFormatting sqref="H194:J205">
    <cfRule type="colorScale" priority="8">
      <colorScale>
        <cfvo type="min"/>
        <cfvo type="num" val="0"/>
        <cfvo type="max"/>
        <color rgb="FFF8696B"/>
        <color theme="0"/>
        <color rgb="FF63BE7B"/>
      </colorScale>
    </cfRule>
  </conditionalFormatting>
  <conditionalFormatting sqref="H267:J278">
    <cfRule type="colorScale" priority="7">
      <colorScale>
        <cfvo type="min"/>
        <cfvo type="num" val="0"/>
        <cfvo type="max"/>
        <color rgb="FFF8696B"/>
        <color theme="0"/>
        <color rgb="FF63BE7B"/>
      </colorScale>
    </cfRule>
  </conditionalFormatting>
  <conditionalFormatting sqref="H340:J351">
    <cfRule type="colorScale" priority="6">
      <colorScale>
        <cfvo type="min"/>
        <cfvo type="num" val="0"/>
        <cfvo type="max"/>
        <color rgb="FFF8696B"/>
        <color theme="0"/>
        <color rgb="FF63BE7B"/>
      </colorScale>
    </cfRule>
  </conditionalFormatting>
  <conditionalFormatting sqref="H413:J424">
    <cfRule type="colorScale" priority="5">
      <colorScale>
        <cfvo type="min"/>
        <cfvo type="num" val="0"/>
        <cfvo type="max"/>
        <color rgb="FFF8696B"/>
        <color theme="0"/>
        <color rgb="FF63BE7B"/>
      </colorScale>
    </cfRule>
  </conditionalFormatting>
  <conditionalFormatting sqref="H486:J497">
    <cfRule type="colorScale" priority="4">
      <colorScale>
        <cfvo type="min"/>
        <cfvo type="num" val="0"/>
        <cfvo type="max"/>
        <color rgb="FFF8696B"/>
        <color theme="0"/>
        <color rgb="FF63BE7B"/>
      </colorScale>
    </cfRule>
  </conditionalFormatting>
  <conditionalFormatting sqref="H558:J569">
    <cfRule type="colorScale" priority="3">
      <colorScale>
        <cfvo type="min"/>
        <cfvo type="num" val="0"/>
        <cfvo type="max"/>
        <color rgb="FFF8696B"/>
        <color theme="0"/>
        <color rgb="FF63BE7B"/>
      </colorScale>
    </cfRule>
  </conditionalFormatting>
  <conditionalFormatting sqref="H632:J643">
    <cfRule type="colorScale" priority="2">
      <colorScale>
        <cfvo type="min"/>
        <cfvo type="num" val="0"/>
        <cfvo type="max"/>
        <color rgb="FFF8696B"/>
        <color theme="0"/>
        <color rgb="FF63BE7B"/>
      </colorScale>
    </cfRule>
  </conditionalFormatting>
  <conditionalFormatting sqref="H705:J716">
    <cfRule type="colorScale" priority="1">
      <colorScale>
        <cfvo type="min"/>
        <cfvo type="num" val="0"/>
        <cfvo type="max"/>
        <color rgb="FFF8696B"/>
        <color theme="0"/>
        <color rgb="FF63BE7B"/>
      </colorScale>
    </cfRule>
  </conditionalFormatting>
  <pageMargins left="0.70866141732283472" right="0.70866141732283472" top="0.74803149606299213" bottom="0.74803149606299213" header="0.31496062992125984" footer="0.31496062992125984"/>
  <pageSetup paperSize="9" scale="60" orientation="portrait" r:id="rId1"/>
  <rowBreaks count="8" manualBreakCount="8">
    <brk id="73" max="16383" man="1"/>
    <brk id="146" max="16383" man="1"/>
    <brk id="188" max="16383" man="1"/>
    <brk id="261" max="16383" man="1"/>
    <brk id="334" max="16383" man="1"/>
    <brk id="407" max="16383" man="1"/>
    <brk id="626" max="16383" man="1"/>
    <brk id="699" max="16383" man="1"/>
  </rowBreaks>
  <ignoredErrors>
    <ignoredError sqref="F164"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433C-A7B1-4F66-ABB6-EA72CBCCC1FE}">
  <dimension ref="A1:AJ26"/>
  <sheetViews>
    <sheetView zoomScale="80" zoomScaleNormal="80" workbookViewId="0">
      <pane xSplit="1" topLeftCell="G1" activePane="topRight" state="frozen"/>
      <selection pane="topRight"/>
    </sheetView>
  </sheetViews>
  <sheetFormatPr defaultColWidth="0" defaultRowHeight="14.4" zeroHeight="1"/>
  <cols>
    <col min="1" max="1" width="50.77734375" style="149" customWidth="1"/>
    <col min="2" max="2" width="17.21875" style="149" hidden="1" customWidth="1"/>
    <col min="3" max="4" width="13.21875" style="149" hidden="1" customWidth="1"/>
    <col min="5" max="5" width="12.5546875" style="149" hidden="1" customWidth="1"/>
    <col min="6" max="6" width="17.21875" style="149" hidden="1" customWidth="1"/>
    <col min="7" max="7" width="13.21875" style="149" customWidth="1"/>
    <col min="8" max="8" width="13.21875" style="149" hidden="1" customWidth="1"/>
    <col min="9" max="9" width="12.5546875" style="149" hidden="1" customWidth="1"/>
    <col min="10" max="10" width="16.5546875" style="149" hidden="1" customWidth="1"/>
    <col min="11" max="11" width="14" style="149" customWidth="1"/>
    <col min="12" max="12" width="17.21875" style="149" hidden="1" customWidth="1"/>
    <col min="13" max="13" width="13.21875" style="149" customWidth="1"/>
    <col min="14" max="14" width="13.21875" style="149" hidden="1" customWidth="1"/>
    <col min="15" max="15" width="12.5546875" style="149" hidden="1" customWidth="1"/>
    <col min="16" max="16" width="16.5546875" style="149" hidden="1" customWidth="1"/>
    <col min="17" max="17" width="14" style="149" customWidth="1"/>
    <col min="18" max="18" width="17.21875" style="149" hidden="1" customWidth="1"/>
    <col min="19" max="19" width="13.21875" style="149" customWidth="1"/>
    <col min="20" max="20" width="13.21875" style="149" hidden="1" customWidth="1"/>
    <col min="21" max="21" width="12.5546875" style="149" hidden="1" customWidth="1"/>
    <col min="22" max="22" width="16.5546875" style="149" hidden="1" customWidth="1"/>
    <col min="23" max="23" width="14" style="149" customWidth="1"/>
    <col min="24" max="24" width="17.21875" style="149" hidden="1" customWidth="1"/>
    <col min="25" max="25" width="13.21875" style="149" customWidth="1"/>
    <col min="26" max="26" width="13.21875" style="149" hidden="1" customWidth="1"/>
    <col min="27" max="27" width="12.5546875" style="149" hidden="1" customWidth="1"/>
    <col min="28" max="28" width="16.5546875" style="149" hidden="1" customWidth="1"/>
    <col min="29" max="29" width="14" style="149" customWidth="1"/>
    <col min="30" max="30" width="15.5546875" style="149" hidden="1" customWidth="1"/>
    <col min="31" max="31" width="14" style="149" customWidth="1"/>
    <col min="32" max="32" width="12.77734375" style="149" hidden="1" customWidth="1"/>
    <col min="33" max="33" width="12.5546875" style="149" hidden="1" customWidth="1"/>
    <col min="34" max="34" width="16.77734375" style="149" hidden="1" customWidth="1"/>
    <col min="35" max="35" width="14" style="149" customWidth="1"/>
    <col min="36" max="36" width="9.21875" style="149" customWidth="1"/>
    <col min="37" max="16384" width="9.21875" style="149" hidden="1"/>
  </cols>
  <sheetData>
    <row r="1" spans="1:36">
      <c r="A1" s="203" t="s">
        <v>0</v>
      </c>
      <c r="B1" s="203"/>
      <c r="C1" s="203"/>
      <c r="D1" s="203"/>
      <c r="E1" s="203"/>
      <c r="F1" s="203"/>
      <c r="R1" s="34"/>
      <c r="S1" s="34"/>
      <c r="T1" s="34"/>
      <c r="U1" s="34"/>
      <c r="V1" s="34"/>
      <c r="W1" s="34"/>
      <c r="X1" s="34"/>
      <c r="Y1" s="34"/>
      <c r="Z1" s="34"/>
      <c r="AA1" s="34"/>
      <c r="AB1" s="34"/>
      <c r="AC1" s="34"/>
      <c r="AD1" s="34"/>
      <c r="AE1" s="34"/>
      <c r="AF1" s="34"/>
      <c r="AG1" s="34"/>
      <c r="AH1" s="34"/>
      <c r="AI1" s="34"/>
      <c r="AJ1" s="34"/>
    </row>
    <row r="2" spans="1:36">
      <c r="A2" s="35" t="s">
        <v>190</v>
      </c>
      <c r="B2" s="35"/>
      <c r="C2" s="204"/>
      <c r="D2" s="35"/>
      <c r="E2" s="35"/>
      <c r="F2" s="34"/>
      <c r="R2" s="34"/>
      <c r="S2" s="34"/>
      <c r="T2" s="34"/>
      <c r="U2" s="34"/>
      <c r="V2" s="34"/>
      <c r="W2" s="34"/>
      <c r="X2" s="34"/>
      <c r="Y2" s="34"/>
      <c r="Z2" s="34"/>
      <c r="AA2" s="34"/>
      <c r="AB2" s="34"/>
      <c r="AC2" s="34"/>
      <c r="AD2" s="34"/>
      <c r="AE2" s="34"/>
      <c r="AF2" s="34"/>
      <c r="AG2" s="34"/>
      <c r="AH2" s="34"/>
      <c r="AI2" s="34"/>
      <c r="AJ2" s="34"/>
    </row>
    <row r="3" spans="1:36">
      <c r="A3" s="36"/>
      <c r="B3" s="419">
        <v>2020</v>
      </c>
      <c r="C3" s="417"/>
      <c r="D3" s="417"/>
      <c r="E3" s="417"/>
      <c r="F3" s="416">
        <v>2021</v>
      </c>
      <c r="G3" s="417"/>
      <c r="H3" s="417"/>
      <c r="I3" s="417"/>
      <c r="J3" s="417"/>
      <c r="K3" s="418"/>
      <c r="L3" s="416">
        <v>2022</v>
      </c>
      <c r="M3" s="417"/>
      <c r="N3" s="417"/>
      <c r="O3" s="417"/>
      <c r="P3" s="417"/>
      <c r="Q3" s="418"/>
      <c r="R3" s="416">
        <v>2023</v>
      </c>
      <c r="S3" s="417"/>
      <c r="T3" s="417"/>
      <c r="U3" s="417"/>
      <c r="V3" s="417"/>
      <c r="W3" s="418"/>
      <c r="X3" s="416">
        <v>2024</v>
      </c>
      <c r="Y3" s="417"/>
      <c r="Z3" s="417"/>
      <c r="AA3" s="417"/>
      <c r="AB3" s="417"/>
      <c r="AC3" s="418"/>
      <c r="AD3" s="416">
        <v>2025</v>
      </c>
      <c r="AE3" s="417"/>
      <c r="AF3" s="417"/>
      <c r="AG3" s="417"/>
      <c r="AH3" s="417"/>
      <c r="AI3" s="418"/>
      <c r="AJ3" s="34"/>
    </row>
    <row r="4" spans="1:36" ht="41.4">
      <c r="A4" s="205"/>
      <c r="B4" s="288" t="s">
        <v>191</v>
      </c>
      <c r="C4" s="288" t="s">
        <v>23</v>
      </c>
      <c r="D4" s="288" t="s">
        <v>192</v>
      </c>
      <c r="E4" s="288" t="s">
        <v>193</v>
      </c>
      <c r="F4" s="306" t="s">
        <v>191</v>
      </c>
      <c r="G4" s="347" t="s">
        <v>23</v>
      </c>
      <c r="H4" s="347" t="s">
        <v>192</v>
      </c>
      <c r="I4" s="347" t="s">
        <v>193</v>
      </c>
      <c r="J4" s="347" t="s">
        <v>182</v>
      </c>
      <c r="K4" s="348" t="s">
        <v>155</v>
      </c>
      <c r="L4" s="349" t="s">
        <v>191</v>
      </c>
      <c r="M4" s="347" t="s">
        <v>23</v>
      </c>
      <c r="N4" s="347" t="s">
        <v>192</v>
      </c>
      <c r="O4" s="347" t="s">
        <v>193</v>
      </c>
      <c r="P4" s="347" t="s">
        <v>182</v>
      </c>
      <c r="Q4" s="348" t="s">
        <v>155</v>
      </c>
      <c r="R4" s="349" t="s">
        <v>191</v>
      </c>
      <c r="S4" s="347" t="s">
        <v>23</v>
      </c>
      <c r="T4" s="347" t="s">
        <v>192</v>
      </c>
      <c r="U4" s="347" t="s">
        <v>193</v>
      </c>
      <c r="V4" s="347" t="s">
        <v>182</v>
      </c>
      <c r="W4" s="348" t="s">
        <v>155</v>
      </c>
      <c r="X4" s="349" t="s">
        <v>191</v>
      </c>
      <c r="Y4" s="347" t="s">
        <v>23</v>
      </c>
      <c r="Z4" s="347" t="s">
        <v>192</v>
      </c>
      <c r="AA4" s="347" t="s">
        <v>193</v>
      </c>
      <c r="AB4" s="347" t="s">
        <v>182</v>
      </c>
      <c r="AC4" s="348" t="s">
        <v>155</v>
      </c>
      <c r="AD4" s="349" t="s">
        <v>191</v>
      </c>
      <c r="AE4" s="347" t="s">
        <v>23</v>
      </c>
      <c r="AF4" s="347" t="s">
        <v>192</v>
      </c>
      <c r="AG4" s="347" t="s">
        <v>193</v>
      </c>
      <c r="AH4" s="347" t="s">
        <v>182</v>
      </c>
      <c r="AI4" s="348" t="s">
        <v>155</v>
      </c>
      <c r="AJ4" s="45"/>
    </row>
    <row r="5" spans="1:36" s="291" customFormat="1" hidden="1">
      <c r="A5" s="10" t="s">
        <v>26</v>
      </c>
      <c r="B5" s="307">
        <f>(B6/33154437.0501259)*100</f>
        <v>-0.33555979509741402</v>
      </c>
      <c r="C5" s="307">
        <f>(C6/29224340)*100</f>
        <v>-4.0874248363179477</v>
      </c>
      <c r="D5" s="308" t="s">
        <v>194</v>
      </c>
      <c r="E5" s="309" t="s">
        <v>194</v>
      </c>
      <c r="F5" s="310">
        <f>(F6/30022256.0836543)*100</f>
        <v>-3.9468586505916941</v>
      </c>
      <c r="G5" s="307">
        <f>(G6/32283779)*100</f>
        <v>-7.220484822210917</v>
      </c>
      <c r="H5" s="308" t="s">
        <v>194</v>
      </c>
      <c r="I5" s="308" t="s">
        <v>194</v>
      </c>
      <c r="J5" s="308" t="s">
        <v>194</v>
      </c>
      <c r="K5" s="311" t="s">
        <v>194</v>
      </c>
      <c r="L5" s="310">
        <f>(L6/34021769.4880171)*100</f>
        <v>-4.7643372217716147</v>
      </c>
      <c r="M5" s="312">
        <f>(M6/36088740)*100</f>
        <v>-4.8591800184766782</v>
      </c>
      <c r="N5" s="308" t="s">
        <v>194</v>
      </c>
      <c r="O5" s="308" t="s">
        <v>194</v>
      </c>
      <c r="P5" s="308" t="s">
        <v>194</v>
      </c>
      <c r="Q5" s="311" t="s">
        <v>194</v>
      </c>
      <c r="R5" s="313">
        <f>(R6/42616528.9059742)*100</f>
        <v>-4.1589212696455862</v>
      </c>
      <c r="S5" s="314">
        <f>(S6/39564221)*100</f>
        <v>-2.3615126606435708</v>
      </c>
      <c r="T5" s="308" t="s">
        <v>194</v>
      </c>
      <c r="U5" s="308" t="s">
        <v>194</v>
      </c>
      <c r="V5" s="308" t="s">
        <v>194</v>
      </c>
      <c r="W5" s="311" t="s">
        <v>194</v>
      </c>
      <c r="X5" s="313">
        <f>-(X6/45524427.9581668)*100</f>
        <v>2.8109267682149048</v>
      </c>
      <c r="Y5" s="312">
        <f>(Y6/40359426)*100</f>
        <v>-1.8134378521637124</v>
      </c>
      <c r="Z5" s="308" t="s">
        <v>194</v>
      </c>
      <c r="AA5" s="308" t="s">
        <v>194</v>
      </c>
      <c r="AB5" s="308" t="s">
        <v>194</v>
      </c>
      <c r="AC5" s="305" t="s">
        <v>194</v>
      </c>
      <c r="AD5" s="315">
        <f>AD6/44378638.632712*100</f>
        <v>-2.8906415353305288</v>
      </c>
      <c r="AE5" s="316"/>
      <c r="AF5" s="308" t="s">
        <v>194</v>
      </c>
      <c r="AG5" s="308" t="s">
        <v>194</v>
      </c>
      <c r="AH5" s="308" t="s">
        <v>194</v>
      </c>
      <c r="AI5" s="305" t="s">
        <v>194</v>
      </c>
      <c r="AJ5" s="290"/>
    </row>
    <row r="6" spans="1:36" hidden="1">
      <c r="A6" s="11" t="s">
        <v>25</v>
      </c>
      <c r="B6" s="317">
        <f>B8+B7</f>
        <v>-111252.96103110359</v>
      </c>
      <c r="C6" s="317">
        <f>C8+C7</f>
        <v>-1194522.9314100004</v>
      </c>
      <c r="D6" s="339">
        <f t="shared" ref="D6:D11" si="0">C6-B6</f>
        <v>-1083269.9703788969</v>
      </c>
      <c r="E6" s="344">
        <f>((C6-B6)/ABS(B6))*100</f>
        <v>-973.69990006471937</v>
      </c>
      <c r="F6" s="318">
        <f>F8+F7</f>
        <v>-1184936.0113405008</v>
      </c>
      <c r="G6" s="317">
        <f>G8+G7</f>
        <v>-2331045.3627311154</v>
      </c>
      <c r="H6" s="339">
        <f>G6-F6</f>
        <v>-1146109.3513906146</v>
      </c>
      <c r="I6" s="344">
        <f>((G6-F6)/ABS(F6))*100</f>
        <v>-96.723311674361028</v>
      </c>
      <c r="J6" s="339">
        <f>G6-C6</f>
        <v>-1136522.431321115</v>
      </c>
      <c r="K6" s="344">
        <f>((G6-C6)/ABS(C6))*100</f>
        <v>-95.144463236011518</v>
      </c>
      <c r="L6" s="318">
        <f>L8+L7</f>
        <v>-1620911.8272229366</v>
      </c>
      <c r="M6" s="317">
        <f>M8+M7</f>
        <v>-1753616.8430000003</v>
      </c>
      <c r="N6" s="339">
        <f t="shared" ref="N6:N11" si="1">M6-L6</f>
        <v>-132705.01577706379</v>
      </c>
      <c r="O6" s="344">
        <f>((M6-L6)/ABS(L6))*100</f>
        <v>-8.1870595024544688</v>
      </c>
      <c r="P6" s="339">
        <f>M6-G6</f>
        <v>577428.51973111508</v>
      </c>
      <c r="Q6" s="344">
        <f>((M6-G6)/ABS(G6))*100</f>
        <v>24.77122620447782</v>
      </c>
      <c r="R6" s="318">
        <f>R8+R7</f>
        <v>-1772387.8850552207</v>
      </c>
      <c r="S6" s="319">
        <f>S8+S7</f>
        <v>-934314.08800000232</v>
      </c>
      <c r="T6" s="339">
        <f>S6-R6</f>
        <v>838073.79705521837</v>
      </c>
      <c r="U6" s="344">
        <f>((S6-R6)/ABS(R6))*100</f>
        <v>47.285010472135298</v>
      </c>
      <c r="V6" s="339">
        <f>S6-M6</f>
        <v>819302.75499999803</v>
      </c>
      <c r="W6" s="345">
        <f>((S6-M6)/ABS(M6))*100</f>
        <v>46.720739383317948</v>
      </c>
      <c r="X6" s="318">
        <f>(X8+X7)</f>
        <v>-1279658.3315528207</v>
      </c>
      <c r="Y6" s="317">
        <f>Y8+Y7</f>
        <v>-731893.10800000292</v>
      </c>
      <c r="Z6" s="339">
        <f>Y6-X6</f>
        <v>547765.22355281783</v>
      </c>
      <c r="AA6" s="344">
        <f>((Y6-X6)/ABS(X6))*100</f>
        <v>42.805584119326902</v>
      </c>
      <c r="AB6" s="339">
        <f>Y6-S6</f>
        <v>202420.9799999994</v>
      </c>
      <c r="AC6" s="345">
        <f>((Y6-S6)/ABS(S6))*100</f>
        <v>21.665196169020938</v>
      </c>
      <c r="AD6" s="320">
        <f>AD7+AD8</f>
        <v>-1282827.3611314134</v>
      </c>
      <c r="AE6" s="289"/>
      <c r="AF6" s="339">
        <f t="shared" ref="AF6:AF11" si="2">AE6-AD6</f>
        <v>1282827.3611314134</v>
      </c>
      <c r="AG6" s="344">
        <f>((AE6-AD6)/ABS(AD6))*100</f>
        <v>100</v>
      </c>
      <c r="AH6" s="339">
        <f t="shared" ref="AH6:AH16" si="3">AE6-Y6</f>
        <v>731893.10800000292</v>
      </c>
      <c r="AI6" s="345">
        <f>((AE6-Y6)/ABS(Y6))*100</f>
        <v>100</v>
      </c>
      <c r="AJ6" s="45"/>
    </row>
    <row r="7" spans="1:36" hidden="1">
      <c r="A7" s="9" t="s">
        <v>24</v>
      </c>
      <c r="B7" s="321">
        <v>73112.920300997706</v>
      </c>
      <c r="C7" s="321">
        <v>-69662.826409999994</v>
      </c>
      <c r="D7" s="338">
        <f t="shared" si="0"/>
        <v>-142775.74671099772</v>
      </c>
      <c r="E7" s="343">
        <f>((C7-B7)/ABS(B7))*100</f>
        <v>-195.28114336454618</v>
      </c>
      <c r="F7" s="322">
        <v>81096.632356386603</v>
      </c>
      <c r="G7" s="321">
        <v>-486212.14873111399</v>
      </c>
      <c r="H7" s="338">
        <f>G7-F7</f>
        <v>-567308.78108750063</v>
      </c>
      <c r="I7" s="343">
        <f>((G7-F7)/ABS(F7))*100</f>
        <v>-699.54665761509068</v>
      </c>
      <c r="J7" s="338">
        <f>G7-C7</f>
        <v>-416549.32232111401</v>
      </c>
      <c r="K7" s="343">
        <f>((G7-C7)/ABS(C7))*100</f>
        <v>-597.95064855611281</v>
      </c>
      <c r="L7" s="322">
        <v>344927.35885997798</v>
      </c>
      <c r="M7" s="321">
        <v>-329741</v>
      </c>
      <c r="N7" s="338">
        <f t="shared" si="1"/>
        <v>-674668.35885997792</v>
      </c>
      <c r="O7" s="343">
        <f>((M7-L7)/ABS(L7))*100</f>
        <v>-195.59722983118226</v>
      </c>
      <c r="P7" s="338">
        <f>M7-G7</f>
        <v>156471.14873111399</v>
      </c>
      <c r="Q7" s="343">
        <f>((M7-G7)/ABS(G7))*100</f>
        <v>32.181661675764914</v>
      </c>
      <c r="R7" s="322">
        <v>226659.056174514</v>
      </c>
      <c r="S7" s="323">
        <v>395650.99999999901</v>
      </c>
      <c r="T7" s="338">
        <f>S7-R7</f>
        <v>168991.94382548501</v>
      </c>
      <c r="U7" s="343">
        <f>((S7-R7)/ABS(R7))*100</f>
        <v>74.557772664230654</v>
      </c>
      <c r="V7" s="338">
        <f>S7-M7</f>
        <v>725391.99999999907</v>
      </c>
      <c r="W7" s="346">
        <f>((S7-M7)/ABS(M7))*100</f>
        <v>219.98841515007203</v>
      </c>
      <c r="X7" s="322">
        <v>502319.00304780301</v>
      </c>
      <c r="Y7" s="321">
        <v>-31535.000000000098</v>
      </c>
      <c r="Z7" s="338">
        <f>Y7-X7</f>
        <v>-533854.00304780307</v>
      </c>
      <c r="AA7" s="343">
        <f>((Y7-X7)/ABS(X7))*100</f>
        <v>-106.27788313973043</v>
      </c>
      <c r="AB7" s="338">
        <f>Y7-S7</f>
        <v>-427185.99999999913</v>
      </c>
      <c r="AC7" s="346">
        <f>((Y7-S7)/ABS(S7))*100</f>
        <v>-107.97040826384874</v>
      </c>
      <c r="AD7" s="324">
        <v>710085.41133538401</v>
      </c>
      <c r="AE7" s="289"/>
      <c r="AF7" s="338">
        <f t="shared" si="2"/>
        <v>-710085.41133538401</v>
      </c>
      <c r="AG7" s="343">
        <f>((AE7-AD7)/ABS(AD7))*100</f>
        <v>-100</v>
      </c>
      <c r="AH7" s="338">
        <f t="shared" si="3"/>
        <v>31535.000000000098</v>
      </c>
      <c r="AI7" s="346">
        <f>((AE7-Y7)/ABS(Y7))*100</f>
        <v>100</v>
      </c>
      <c r="AJ7" s="45"/>
    </row>
    <row r="8" spans="1:36">
      <c r="A8" s="3" t="s">
        <v>1</v>
      </c>
      <c r="B8" s="4">
        <f>B9-B15</f>
        <v>-184365.8813321013</v>
      </c>
      <c r="C8" s="4">
        <f>C9-C15</f>
        <v>-1124860.1050000004</v>
      </c>
      <c r="D8" s="4">
        <f t="shared" si="0"/>
        <v>-940494.22366789915</v>
      </c>
      <c r="E8" s="206">
        <f>((C8-B8)/ABS(B8))*100</f>
        <v>-510.12379127446661</v>
      </c>
      <c r="F8" s="207">
        <f>F9-F15</f>
        <v>-1266032.6436968874</v>
      </c>
      <c r="G8" s="4">
        <f>G9-G15</f>
        <v>-1844833.2140000015</v>
      </c>
      <c r="H8" s="4">
        <f>G8-F8</f>
        <v>-578800.57030311413</v>
      </c>
      <c r="I8" s="208">
        <f>((G8-F8)/ABS(F8))*100</f>
        <v>-45.717665589805293</v>
      </c>
      <c r="J8" s="4">
        <f>G8-C8</f>
        <v>-719973.1090000011</v>
      </c>
      <c r="K8" s="341">
        <f>((G8-C8)/ABS(C8))*100</f>
        <v>-64.00556885249307</v>
      </c>
      <c r="L8" s="207">
        <f>L9-L15</f>
        <v>-1965839.1860829145</v>
      </c>
      <c r="M8" s="4">
        <f>M9-M15</f>
        <v>-1423875.8430000003</v>
      </c>
      <c r="N8" s="4">
        <f t="shared" si="1"/>
        <v>541963.34308291413</v>
      </c>
      <c r="O8" s="208">
        <f>((M8-L8)/ABS(L8))*100</f>
        <v>27.569057882237953</v>
      </c>
      <c r="P8" s="117">
        <f>M8-G8</f>
        <v>420957.37100000121</v>
      </c>
      <c r="Q8" s="341">
        <f>((M8-G8)/ABS(G8))*100</f>
        <v>22.818180408150482</v>
      </c>
      <c r="R8" s="207">
        <f>R9-R15</f>
        <v>-1999046.9412297346</v>
      </c>
      <c r="S8" s="4">
        <f>S9-S15</f>
        <v>-1329965.0880000014</v>
      </c>
      <c r="T8" s="4">
        <f>S8-R8</f>
        <v>669081.85322973318</v>
      </c>
      <c r="U8" s="208">
        <f>((S8-R8)/ABS(R8))*100</f>
        <v>33.47004212007851</v>
      </c>
      <c r="V8" s="4">
        <f>S8-M8</f>
        <v>93910.754999998957</v>
      </c>
      <c r="W8" s="341">
        <f>((S8-M8)/ABS(M8))*100</f>
        <v>6.5954314388911879</v>
      </c>
      <c r="X8" s="207">
        <f>X9-X15</f>
        <v>-1781977.3346006237</v>
      </c>
      <c r="Y8" s="4">
        <f>Y9-Y15</f>
        <v>-700358.1080000028</v>
      </c>
      <c r="Z8" s="4">
        <f>Y8-X8</f>
        <v>1081619.2266006209</v>
      </c>
      <c r="AA8" s="208">
        <f>((Y8-X8)/ABS(X8))*100</f>
        <v>60.697698315171507</v>
      </c>
      <c r="AB8" s="4">
        <f>Y8-S8</f>
        <v>629606.97999999858</v>
      </c>
      <c r="AC8" s="341">
        <f>((Y8-S8)/ABS(S8))*100</f>
        <v>47.340113336869635</v>
      </c>
      <c r="AD8" s="131">
        <f>AD9-AD15</f>
        <v>-1992912.7724667974</v>
      </c>
      <c r="AE8" s="4">
        <f>AE9-AE15</f>
        <v>-1740696.8379999958</v>
      </c>
      <c r="AF8" s="4">
        <f t="shared" si="2"/>
        <v>252215.93446680158</v>
      </c>
      <c r="AG8" s="208">
        <f>((AE8-AD8)/ABS(AD8))*100</f>
        <v>12.655643435643823</v>
      </c>
      <c r="AH8" s="4">
        <f t="shared" si="3"/>
        <v>-1040338.729999993</v>
      </c>
      <c r="AI8" s="341">
        <f>((AE8-Y8)/ABS(Y8))*100</f>
        <v>-148.54382609646163</v>
      </c>
      <c r="AJ8" s="45"/>
    </row>
    <row r="9" spans="1:36">
      <c r="A9" s="8" t="s">
        <v>2</v>
      </c>
      <c r="B9" s="292">
        <f>SUM(B10:B14)</f>
        <v>11857222.329</v>
      </c>
      <c r="C9" s="292">
        <f>SUM(C10:C14)</f>
        <v>11337368.111999998</v>
      </c>
      <c r="D9" s="292">
        <f t="shared" si="0"/>
        <v>-519854.21700000204</v>
      </c>
      <c r="E9" s="293">
        <f>(C9/B9)*100-100</f>
        <v>-4.3842832880729503</v>
      </c>
      <c r="F9" s="294">
        <f>SUM(F10:F14)</f>
        <v>11505167.982000001</v>
      </c>
      <c r="G9" s="292">
        <f t="shared" ref="G9:M9" si="4">SUM(G10:G14)</f>
        <v>12549202.949999999</v>
      </c>
      <c r="H9" s="292">
        <f>G9-F9</f>
        <v>1044034.9679999985</v>
      </c>
      <c r="I9" s="295">
        <f>(G9/F9)*100-100</f>
        <v>9.0744869578037139</v>
      </c>
      <c r="J9" s="292">
        <f>G9-C9</f>
        <v>1211834.8380000014</v>
      </c>
      <c r="K9" s="296">
        <f>(G9/C9)*100-100</f>
        <v>10.688854997284068</v>
      </c>
      <c r="L9" s="294">
        <f t="shared" si="4"/>
        <v>12684579.008000001</v>
      </c>
      <c r="M9" s="292">
        <f t="shared" si="4"/>
        <v>14294401.175999999</v>
      </c>
      <c r="N9" s="292">
        <f t="shared" si="1"/>
        <v>1609822.1679999977</v>
      </c>
      <c r="O9" s="295">
        <f>(M9/L9)*100-100</f>
        <v>12.6911753790544</v>
      </c>
      <c r="P9" s="292">
        <f>M9-G9</f>
        <v>1745198.2259999998</v>
      </c>
      <c r="Q9" s="297">
        <f>(M9/G9)*100-100</f>
        <v>13.906845183342909</v>
      </c>
      <c r="R9" s="294">
        <f>SUM(R10:R14)</f>
        <v>15094043.824000001</v>
      </c>
      <c r="S9" s="292">
        <f>SUM(S10:S14)</f>
        <v>15627991.573999999</v>
      </c>
      <c r="T9" s="292">
        <f>S9-R9</f>
        <v>533947.74999999814</v>
      </c>
      <c r="U9" s="295">
        <f>(S9/R9)*100-100</f>
        <v>3.537473166408887</v>
      </c>
      <c r="V9" s="292">
        <f>S9-M9</f>
        <v>1333590.398</v>
      </c>
      <c r="W9" s="297">
        <f t="shared" ref="W9:W22" si="5">(S9/M9)*100-100</f>
        <v>9.3294597064973175</v>
      </c>
      <c r="X9" s="294">
        <f>SUM(X10:X14)</f>
        <v>17117001.537000004</v>
      </c>
      <c r="Y9" s="292">
        <f>SUM(Y10:Y14)</f>
        <v>17171050.655999999</v>
      </c>
      <c r="Z9" s="292">
        <f>Y9-X9</f>
        <v>54049.118999995291</v>
      </c>
      <c r="AA9" s="295">
        <f>(Y9/X9)*100-100</f>
        <v>0.31576277470773562</v>
      </c>
      <c r="AB9" s="292">
        <f>Y9-S9</f>
        <v>1543059.0820000004</v>
      </c>
      <c r="AC9" s="297">
        <f>(Y9/S9)*100-100</f>
        <v>9.8736877012856752</v>
      </c>
      <c r="AD9" s="298">
        <f>SUM(AD10:AD14)</f>
        <v>17894063.320949998</v>
      </c>
      <c r="AE9" s="292">
        <f>SUM(AE10:AE14)</f>
        <v>17777726.586000003</v>
      </c>
      <c r="AF9" s="292">
        <f t="shared" si="2"/>
        <v>-116336.73494999483</v>
      </c>
      <c r="AG9" s="295">
        <f t="shared" ref="AG9:AG22" si="6">(AE9/AD9)*100-100</f>
        <v>-0.65014151824192368</v>
      </c>
      <c r="AH9" s="292">
        <f t="shared" si="3"/>
        <v>606675.93000000343</v>
      </c>
      <c r="AI9" s="297">
        <f t="shared" ref="AI9:AI16" si="7">(AE9/Y9)*100-100</f>
        <v>3.5331322593706034</v>
      </c>
      <c r="AJ9" s="45"/>
    </row>
    <row r="10" spans="1:36">
      <c r="A10" s="9" t="s">
        <v>3</v>
      </c>
      <c r="B10" s="299">
        <v>9681919.6940000001</v>
      </c>
      <c r="C10" s="299">
        <v>9006547.0219999999</v>
      </c>
      <c r="D10" s="299">
        <f t="shared" si="0"/>
        <v>-675372.67200000025</v>
      </c>
      <c r="E10" s="300">
        <f>(C10/B10)*100-100</f>
        <v>-6.9756070422535856</v>
      </c>
      <c r="F10" s="301">
        <v>9341523.8690000009</v>
      </c>
      <c r="G10" s="299">
        <v>10031043.437999999</v>
      </c>
      <c r="H10" s="299">
        <f>G10-F10</f>
        <v>689519.56899999827</v>
      </c>
      <c r="I10" s="302">
        <f>(G10/F10)*100-100</f>
        <v>7.3812322129602563</v>
      </c>
      <c r="J10" s="299">
        <f>G10-C10</f>
        <v>1024496.4159999993</v>
      </c>
      <c r="K10" s="303">
        <f>(G10/C10)*100-100</f>
        <v>11.375018789081935</v>
      </c>
      <c r="L10" s="301">
        <v>10190683.665000001</v>
      </c>
      <c r="M10" s="299">
        <v>11557279.546</v>
      </c>
      <c r="N10" s="299">
        <f t="shared" si="1"/>
        <v>1366595.8809999991</v>
      </c>
      <c r="O10" s="302">
        <f>(M10/L10)*100-100</f>
        <v>13.410247299634918</v>
      </c>
      <c r="P10" s="299">
        <f>M10-G10</f>
        <v>1526236.1080000009</v>
      </c>
      <c r="Q10" s="303">
        <f>(M10/G10)*100-100</f>
        <v>15.215128091443148</v>
      </c>
      <c r="R10" s="301">
        <v>12286667.954</v>
      </c>
      <c r="S10" s="299">
        <v>12600411.948999999</v>
      </c>
      <c r="T10" s="304">
        <f>S10-R10</f>
        <v>313743.99499999918</v>
      </c>
      <c r="U10" s="325">
        <f t="shared" ref="U10:U22" si="8">(S10/R10)*100-100</f>
        <v>2.5535319760786592</v>
      </c>
      <c r="V10" s="326">
        <f>S10-M10</f>
        <v>1043132.402999999</v>
      </c>
      <c r="W10" s="327">
        <f t="shared" si="5"/>
        <v>9.0257607670399409</v>
      </c>
      <c r="X10" s="301">
        <v>13804572.522</v>
      </c>
      <c r="Y10" s="299">
        <v>13583512.557</v>
      </c>
      <c r="Z10" s="299">
        <f>Y10-X10</f>
        <v>-221059.96499999985</v>
      </c>
      <c r="AA10" s="302">
        <f>(Y10/X10)*100-100</f>
        <v>-1.6013532084945155</v>
      </c>
      <c r="AB10" s="299">
        <f>Y10-S10</f>
        <v>983100.60800000094</v>
      </c>
      <c r="AC10" s="303">
        <f>(Y10/S10)*100-100</f>
        <v>7.8021306920685447</v>
      </c>
      <c r="AD10" s="304">
        <v>14552749.614</v>
      </c>
      <c r="AE10" s="299">
        <v>14338753.335000001</v>
      </c>
      <c r="AF10" s="299">
        <f t="shared" si="2"/>
        <v>-213996.27899999917</v>
      </c>
      <c r="AG10" s="302">
        <f t="shared" si="6"/>
        <v>-1.4704869160541989</v>
      </c>
      <c r="AH10" s="299">
        <f t="shared" si="3"/>
        <v>755240.77800000086</v>
      </c>
      <c r="AI10" s="303">
        <f t="shared" si="7"/>
        <v>5.5599814468519213</v>
      </c>
      <c r="AJ10" s="45"/>
    </row>
    <row r="11" spans="1:36">
      <c r="A11" s="9" t="s">
        <v>4</v>
      </c>
      <c r="B11" s="299">
        <v>596059.78299999994</v>
      </c>
      <c r="C11" s="299">
        <v>666280.32499999995</v>
      </c>
      <c r="D11" s="299">
        <f t="shared" si="0"/>
        <v>70220.542000000016</v>
      </c>
      <c r="E11" s="300">
        <f>(C11/B11)*100-100</f>
        <v>11.780788438128866</v>
      </c>
      <c r="F11" s="301">
        <v>569700.44299999997</v>
      </c>
      <c r="G11" s="299">
        <v>771242.71600000001</v>
      </c>
      <c r="H11" s="299">
        <f t="shared" ref="H11:H22" si="9">G11-F11</f>
        <v>201542.27300000004</v>
      </c>
      <c r="I11" s="302">
        <f t="shared" ref="I11:I22" si="10">(G11/F11)*100-100</f>
        <v>35.376885427487736</v>
      </c>
      <c r="J11" s="299">
        <f t="shared" ref="J11:J22" si="11">G11-C11</f>
        <v>104962.39100000006</v>
      </c>
      <c r="K11" s="303">
        <f t="shared" ref="K11:K22" si="12">(G11/C11)*100-100</f>
        <v>15.753487993210683</v>
      </c>
      <c r="L11" s="301">
        <v>618563.78099999996</v>
      </c>
      <c r="M11" s="299">
        <v>845036.90500000003</v>
      </c>
      <c r="N11" s="299">
        <f t="shared" si="1"/>
        <v>226473.12400000007</v>
      </c>
      <c r="O11" s="302">
        <f t="shared" ref="O11:O22" si="13">(M11/L11)*100-100</f>
        <v>36.612735979121283</v>
      </c>
      <c r="P11" s="299">
        <f t="shared" ref="P11:P22" si="14">M11-G11</f>
        <v>73794.189000000013</v>
      </c>
      <c r="Q11" s="303">
        <f t="shared" ref="Q11:Q22" si="15">(M11/G11)*100-100</f>
        <v>9.5682185995517415</v>
      </c>
      <c r="R11" s="301">
        <v>847516.10700000019</v>
      </c>
      <c r="S11" s="299">
        <v>1063587.362</v>
      </c>
      <c r="T11" s="304">
        <f t="shared" ref="T11:T22" si="16">S11-R11</f>
        <v>216071.25499999977</v>
      </c>
      <c r="U11" s="325">
        <f>(S11/R11)*100-100</f>
        <v>25.494648799636295</v>
      </c>
      <c r="V11" s="326">
        <f t="shared" ref="V11:V22" si="17">S11-M11</f>
        <v>218550.45699999994</v>
      </c>
      <c r="W11" s="327">
        <f t="shared" si="5"/>
        <v>25.862829860667432</v>
      </c>
      <c r="X11" s="301">
        <v>965806.23499999999</v>
      </c>
      <c r="Y11" s="299">
        <v>1217792.0090000001</v>
      </c>
      <c r="Z11" s="299">
        <f t="shared" ref="Z11:Z22" si="18">Y11-X11</f>
        <v>251985.77400000009</v>
      </c>
      <c r="AA11" s="302">
        <f t="shared" ref="AA11:AA22" si="19">(Y11/X11)*100-100</f>
        <v>26.090717254481177</v>
      </c>
      <c r="AB11" s="299">
        <f t="shared" ref="AB11:AB22" si="20">Y11-S11</f>
        <v>154204.64700000011</v>
      </c>
      <c r="AC11" s="303">
        <f t="shared" ref="AC11:AC22" si="21">(Y11/S11)*100-100</f>
        <v>14.498540741404582</v>
      </c>
      <c r="AD11" s="304">
        <v>1031009.29795</v>
      </c>
      <c r="AE11" s="299">
        <v>1143537.047</v>
      </c>
      <c r="AF11" s="299">
        <f t="shared" si="2"/>
        <v>112527.74904999998</v>
      </c>
      <c r="AG11" s="302">
        <f t="shared" si="6"/>
        <v>10.914329218343994</v>
      </c>
      <c r="AH11" s="299">
        <f t="shared" si="3"/>
        <v>-74254.962000000058</v>
      </c>
      <c r="AI11" s="303">
        <f t="shared" si="7"/>
        <v>-6.0975077395174537</v>
      </c>
      <c r="AJ11" s="45"/>
    </row>
    <row r="12" spans="1:36">
      <c r="A12" s="9" t="s">
        <v>5</v>
      </c>
      <c r="B12" s="299">
        <v>359132.59100000001</v>
      </c>
      <c r="C12" s="299">
        <v>348370.77899999998</v>
      </c>
      <c r="D12" s="299">
        <f>C12-B12</f>
        <v>-10761.812000000034</v>
      </c>
      <c r="E12" s="300">
        <f t="shared" ref="E12:E22" si="22">(C12/B12)*100-100</f>
        <v>-2.9966124684016791</v>
      </c>
      <c r="F12" s="301">
        <v>369134.58199999999</v>
      </c>
      <c r="G12" s="299">
        <v>372487.68699999998</v>
      </c>
      <c r="H12" s="299">
        <f t="shared" si="9"/>
        <v>3353.1049999999814</v>
      </c>
      <c r="I12" s="302">
        <f t="shared" si="10"/>
        <v>0.90836924078816139</v>
      </c>
      <c r="J12" s="299">
        <f t="shared" si="11"/>
        <v>24116.907999999996</v>
      </c>
      <c r="K12" s="303">
        <f t="shared" si="12"/>
        <v>6.9227700639036698</v>
      </c>
      <c r="L12" s="301">
        <v>363503.05700000003</v>
      </c>
      <c r="M12" s="299">
        <v>424920.99099999998</v>
      </c>
      <c r="N12" s="299">
        <f t="shared" ref="N12:N22" si="23">M12-L12</f>
        <v>61417.93399999995</v>
      </c>
      <c r="O12" s="302">
        <f t="shared" si="13"/>
        <v>16.896125855689831</v>
      </c>
      <c r="P12" s="299">
        <f t="shared" si="14"/>
        <v>52433.304000000004</v>
      </c>
      <c r="Q12" s="303">
        <f t="shared" si="15"/>
        <v>14.076520064943779</v>
      </c>
      <c r="R12" s="301">
        <v>423142.02299999999</v>
      </c>
      <c r="S12" s="299">
        <v>483805.66100000002</v>
      </c>
      <c r="T12" s="304">
        <f t="shared" si="16"/>
        <v>60663.638000000035</v>
      </c>
      <c r="U12" s="325">
        <f t="shared" si="8"/>
        <v>14.336472083274998</v>
      </c>
      <c r="V12" s="326">
        <f t="shared" si="17"/>
        <v>58884.670000000042</v>
      </c>
      <c r="W12" s="327">
        <f t="shared" si="5"/>
        <v>13.857792683157896</v>
      </c>
      <c r="X12" s="301">
        <v>464771.45199999999</v>
      </c>
      <c r="Y12" s="299">
        <v>531916.81200000003</v>
      </c>
      <c r="Z12" s="299">
        <f t="shared" si="18"/>
        <v>67145.360000000044</v>
      </c>
      <c r="AA12" s="302">
        <f>(Y12/X12)*100-100</f>
        <v>14.446963063471458</v>
      </c>
      <c r="AB12" s="299">
        <f t="shared" si="20"/>
        <v>48111.151000000013</v>
      </c>
      <c r="AC12" s="303">
        <f t="shared" si="21"/>
        <v>9.9443133634602248</v>
      </c>
      <c r="AD12" s="304">
        <v>523522.37400000001</v>
      </c>
      <c r="AE12" s="299">
        <v>566475.59600000002</v>
      </c>
      <c r="AF12" s="299">
        <f>AE12-AD12</f>
        <v>42953.222000000009</v>
      </c>
      <c r="AG12" s="302">
        <f t="shared" si="6"/>
        <v>8.2046583170483558</v>
      </c>
      <c r="AH12" s="299">
        <f t="shared" si="3"/>
        <v>34558.783999999985</v>
      </c>
      <c r="AI12" s="303">
        <f t="shared" si="7"/>
        <v>6.4970279600788245</v>
      </c>
      <c r="AJ12" s="45"/>
    </row>
    <row r="13" spans="1:36">
      <c r="A13" s="9" t="s">
        <v>179</v>
      </c>
      <c r="B13" s="299">
        <v>1219010.2609999999</v>
      </c>
      <c r="C13" s="299">
        <v>1310288.9539999999</v>
      </c>
      <c r="D13" s="299">
        <f>C13-B13</f>
        <v>91278.69299999997</v>
      </c>
      <c r="E13" s="300">
        <f t="shared" si="22"/>
        <v>7.4879347549643001</v>
      </c>
      <c r="F13" s="301">
        <v>1222309.088</v>
      </c>
      <c r="G13" s="299">
        <v>1370983.977</v>
      </c>
      <c r="H13" s="299">
        <f t="shared" si="9"/>
        <v>148674.88899999997</v>
      </c>
      <c r="I13" s="302">
        <f t="shared" si="10"/>
        <v>12.163444619663991</v>
      </c>
      <c r="J13" s="299">
        <f t="shared" si="11"/>
        <v>60695.023000000045</v>
      </c>
      <c r="K13" s="303">
        <f t="shared" si="12"/>
        <v>4.6321861154909811</v>
      </c>
      <c r="L13" s="301">
        <v>1511228.5049999999</v>
      </c>
      <c r="M13" s="299">
        <v>1465549.9069999999</v>
      </c>
      <c r="N13" s="299">
        <f t="shared" si="23"/>
        <v>-45678.597999999998</v>
      </c>
      <c r="O13" s="302">
        <f t="shared" si="13"/>
        <v>-3.0226135788776674</v>
      </c>
      <c r="P13" s="299">
        <f t="shared" si="14"/>
        <v>94565.929999999935</v>
      </c>
      <c r="Q13" s="303">
        <f t="shared" si="15"/>
        <v>6.8976685057202474</v>
      </c>
      <c r="R13" s="301">
        <v>1536017.74</v>
      </c>
      <c r="S13" s="299">
        <v>1478206.713</v>
      </c>
      <c r="T13" s="304">
        <f t="shared" si="16"/>
        <v>-57811.027000000002</v>
      </c>
      <c r="U13" s="325">
        <f t="shared" si="8"/>
        <v>-3.7636952682590845</v>
      </c>
      <c r="V13" s="326">
        <f t="shared" si="17"/>
        <v>12656.806000000099</v>
      </c>
      <c r="W13" s="327">
        <f t="shared" si="5"/>
        <v>0.86362163032092099</v>
      </c>
      <c r="X13" s="301">
        <v>1880651.328</v>
      </c>
      <c r="Y13" s="299">
        <v>1835845.898</v>
      </c>
      <c r="Z13" s="299">
        <f t="shared" si="18"/>
        <v>-44805.429999999935</v>
      </c>
      <c r="AA13" s="302">
        <f t="shared" si="19"/>
        <v>-2.3824421535728675</v>
      </c>
      <c r="AB13" s="299">
        <f t="shared" si="20"/>
        <v>357639.18500000006</v>
      </c>
      <c r="AC13" s="303">
        <f>(Y13/S13)*100-100</f>
        <v>24.19412534490364</v>
      </c>
      <c r="AD13" s="304">
        <v>1785482.0349999999</v>
      </c>
      <c r="AE13" s="299">
        <v>1726378.027</v>
      </c>
      <c r="AF13" s="299">
        <f>AE13-AD13</f>
        <v>-59104.007999999914</v>
      </c>
      <c r="AG13" s="302">
        <f t="shared" si="6"/>
        <v>-3.3102549810869419</v>
      </c>
      <c r="AH13" s="299">
        <f t="shared" si="3"/>
        <v>-109467.87100000004</v>
      </c>
      <c r="AI13" s="303">
        <f t="shared" si="7"/>
        <v>-5.9628028212638071</v>
      </c>
      <c r="AJ13" s="45"/>
    </row>
    <row r="14" spans="1:36">
      <c r="A14" s="9" t="s">
        <v>196</v>
      </c>
      <c r="B14" s="299">
        <v>1100.0000000001364</v>
      </c>
      <c r="C14" s="299">
        <v>5881.0320000000002</v>
      </c>
      <c r="D14" s="299">
        <f>C14-B14</f>
        <v>4781.0319999998637</v>
      </c>
      <c r="E14" s="300">
        <f t="shared" si="22"/>
        <v>434.6392727272065</v>
      </c>
      <c r="F14" s="301">
        <v>2500.0000000004547</v>
      </c>
      <c r="G14" s="299">
        <v>3445.1320000000001</v>
      </c>
      <c r="H14" s="299">
        <f t="shared" si="9"/>
        <v>945.13199999954531</v>
      </c>
      <c r="I14" s="302">
        <f t="shared" si="10"/>
        <v>37.805279999974942</v>
      </c>
      <c r="J14" s="299">
        <f t="shared" si="11"/>
        <v>-2435.9</v>
      </c>
      <c r="K14" s="303">
        <f t="shared" si="12"/>
        <v>-41.41960118564225</v>
      </c>
      <c r="L14" s="301">
        <v>600.00000000059117</v>
      </c>
      <c r="M14" s="299">
        <v>1613.827</v>
      </c>
      <c r="N14" s="299">
        <f t="shared" si="23"/>
        <v>1013.8269999994088</v>
      </c>
      <c r="O14" s="302">
        <f t="shared" si="13"/>
        <v>168.97116666640164</v>
      </c>
      <c r="P14" s="299">
        <f t="shared" si="14"/>
        <v>-1831.3050000000001</v>
      </c>
      <c r="Q14" s="303">
        <f t="shared" si="15"/>
        <v>-53.156308669740376</v>
      </c>
      <c r="R14" s="301">
        <v>699.99999999959073</v>
      </c>
      <c r="S14" s="299">
        <v>1979.8889999999999</v>
      </c>
      <c r="T14" s="304">
        <f t="shared" si="16"/>
        <v>1279.8890000004092</v>
      </c>
      <c r="U14" s="325">
        <f t="shared" si="8"/>
        <v>182.84128571445109</v>
      </c>
      <c r="V14" s="326">
        <f t="shared" si="17"/>
        <v>366.0619999999999</v>
      </c>
      <c r="W14" s="327">
        <f t="shared" si="5"/>
        <v>22.682852622988705</v>
      </c>
      <c r="X14" s="301">
        <v>1200.0000000034561</v>
      </c>
      <c r="Y14" s="299">
        <f>142.038+1841.342</f>
        <v>1983.38</v>
      </c>
      <c r="Z14" s="299">
        <f t="shared" si="18"/>
        <v>783.37999999654403</v>
      </c>
      <c r="AA14" s="302">
        <f t="shared" si="19"/>
        <v>65.281666666190659</v>
      </c>
      <c r="AB14" s="299">
        <f t="shared" si="20"/>
        <v>3.4910000000002128</v>
      </c>
      <c r="AC14" s="303">
        <f t="shared" si="21"/>
        <v>0.17632301608827561</v>
      </c>
      <c r="AD14" s="304">
        <v>1300.0000000006401</v>
      </c>
      <c r="AE14" s="299">
        <v>2582.5810000000001</v>
      </c>
      <c r="AF14" s="299">
        <f>AE14-AD14</f>
        <v>1282.5809999993601</v>
      </c>
      <c r="AG14" s="302">
        <f t="shared" si="6"/>
        <v>98.660076922979101</v>
      </c>
      <c r="AH14" s="299">
        <f t="shared" si="3"/>
        <v>599.20100000000002</v>
      </c>
      <c r="AI14" s="303">
        <f t="shared" si="7"/>
        <v>30.211104276538038</v>
      </c>
      <c r="AJ14" s="45"/>
    </row>
    <row r="15" spans="1:36">
      <c r="A15" s="8" t="s">
        <v>7</v>
      </c>
      <c r="B15" s="292">
        <f>SUM(B16:B22)</f>
        <v>12041588.210332101</v>
      </c>
      <c r="C15" s="292">
        <f>SUM(C16:C22)</f>
        <v>12462228.216999998</v>
      </c>
      <c r="D15" s="292">
        <f>C15-B15</f>
        <v>420640.00666789711</v>
      </c>
      <c r="E15" s="293">
        <f t="shared" si="22"/>
        <v>3.4932269674109477</v>
      </c>
      <c r="F15" s="294">
        <f>SUM(F16:F22)</f>
        <v>12771200.625696888</v>
      </c>
      <c r="G15" s="292">
        <f t="shared" ref="G15:M15" si="24">SUM(G16:G22)</f>
        <v>14394036.164000001</v>
      </c>
      <c r="H15" s="292">
        <f t="shared" si="9"/>
        <v>1622835.5383031126</v>
      </c>
      <c r="I15" s="295">
        <f t="shared" si="10"/>
        <v>12.706992755542586</v>
      </c>
      <c r="J15" s="292">
        <f t="shared" si="11"/>
        <v>1931807.9470000025</v>
      </c>
      <c r="K15" s="297">
        <f t="shared" si="12"/>
        <v>15.501304528870534</v>
      </c>
      <c r="L15" s="294">
        <f t="shared" si="24"/>
        <v>14650418.194082916</v>
      </c>
      <c r="M15" s="292">
        <f t="shared" si="24"/>
        <v>15718277.018999999</v>
      </c>
      <c r="N15" s="292">
        <f t="shared" si="23"/>
        <v>1067858.8249170836</v>
      </c>
      <c r="O15" s="295">
        <f t="shared" si="13"/>
        <v>7.28893066921718</v>
      </c>
      <c r="P15" s="292">
        <f t="shared" si="14"/>
        <v>1324240.8549999986</v>
      </c>
      <c r="Q15" s="297">
        <f t="shared" si="15"/>
        <v>9.1999272470356175</v>
      </c>
      <c r="R15" s="294">
        <f>SUM(R16:R22)</f>
        <v>17093090.765229736</v>
      </c>
      <c r="S15" s="292">
        <f>SUM(S16:S22)</f>
        <v>16957956.662</v>
      </c>
      <c r="T15" s="292">
        <f t="shared" si="16"/>
        <v>-135134.10322973505</v>
      </c>
      <c r="U15" s="295">
        <f t="shared" si="8"/>
        <v>-0.7905773454653513</v>
      </c>
      <c r="V15" s="292">
        <f t="shared" si="17"/>
        <v>1239679.6430000011</v>
      </c>
      <c r="W15" s="297">
        <f t="shared" si="5"/>
        <v>7.8868672533350548</v>
      </c>
      <c r="X15" s="294">
        <f>SUM(X16:X22)</f>
        <v>18898978.871600628</v>
      </c>
      <c r="Y15" s="292">
        <f>SUM(Y16:Y22)</f>
        <v>17871408.764000002</v>
      </c>
      <c r="Z15" s="292">
        <f t="shared" si="18"/>
        <v>-1027570.1076006256</v>
      </c>
      <c r="AA15" s="295">
        <f t="shared" si="19"/>
        <v>-5.4371726355266077</v>
      </c>
      <c r="AB15" s="292">
        <f t="shared" si="20"/>
        <v>913452.10200000182</v>
      </c>
      <c r="AC15" s="297">
        <f t="shared" si="21"/>
        <v>5.3865693857261761</v>
      </c>
      <c r="AD15" s="298">
        <f>SUM(AD16:AD22)</f>
        <v>19886976.093416795</v>
      </c>
      <c r="AE15" s="292">
        <f>SUM(AE16:AE22)</f>
        <v>19518423.423999999</v>
      </c>
      <c r="AF15" s="292">
        <f>AE15-AD15</f>
        <v>-368552.66941679642</v>
      </c>
      <c r="AG15" s="295">
        <f t="shared" si="6"/>
        <v>-1.8532363476758036</v>
      </c>
      <c r="AH15" s="292">
        <f t="shared" si="3"/>
        <v>1647014.6599999964</v>
      </c>
      <c r="AI15" s="297">
        <f t="shared" si="7"/>
        <v>9.2159195827792075</v>
      </c>
      <c r="AJ15" s="45"/>
    </row>
    <row r="16" spans="1:36">
      <c r="A16" s="138" t="s">
        <v>8</v>
      </c>
      <c r="B16" s="299">
        <v>2749575.7464448004</v>
      </c>
      <c r="C16" s="299">
        <v>2712205.5830000001</v>
      </c>
      <c r="D16" s="299">
        <f>C16-B16</f>
        <v>-37370.163444800302</v>
      </c>
      <c r="E16" s="300">
        <f t="shared" si="22"/>
        <v>-1.359124711989466</v>
      </c>
      <c r="F16" s="301">
        <v>2812262.2110514059</v>
      </c>
      <c r="G16" s="299">
        <v>2939510.773</v>
      </c>
      <c r="H16" s="299">
        <f t="shared" si="9"/>
        <v>127248.56194859417</v>
      </c>
      <c r="I16" s="302">
        <f t="shared" si="10"/>
        <v>4.5247758707755992</v>
      </c>
      <c r="J16" s="299">
        <f t="shared" si="11"/>
        <v>227305.18999999994</v>
      </c>
      <c r="K16" s="303">
        <f t="shared" si="12"/>
        <v>8.380824500352773</v>
      </c>
      <c r="L16" s="301">
        <v>3028196.6854385599</v>
      </c>
      <c r="M16" s="299">
        <v>3120124.74</v>
      </c>
      <c r="N16" s="299">
        <f t="shared" si="23"/>
        <v>91928.054561440367</v>
      </c>
      <c r="O16" s="302">
        <f t="shared" si="13"/>
        <v>3.0357359217612014</v>
      </c>
      <c r="P16" s="299">
        <f t="shared" si="14"/>
        <v>180613.96700000018</v>
      </c>
      <c r="Q16" s="303">
        <f t="shared" si="15"/>
        <v>6.1443546544879553</v>
      </c>
      <c r="R16" s="301">
        <v>3497699.9373240741</v>
      </c>
      <c r="S16" s="299">
        <v>3601431.5490000001</v>
      </c>
      <c r="T16" s="304">
        <f t="shared" si="16"/>
        <v>103731.61167592602</v>
      </c>
      <c r="U16" s="325">
        <f t="shared" si="8"/>
        <v>2.9657092813766752</v>
      </c>
      <c r="V16" s="326">
        <f t="shared" si="17"/>
        <v>481306.80899999989</v>
      </c>
      <c r="W16" s="327">
        <f t="shared" si="5"/>
        <v>15.425883549771143</v>
      </c>
      <c r="X16" s="301">
        <v>3950968.6030028192</v>
      </c>
      <c r="Y16" s="299">
        <v>4083856.8080000002</v>
      </c>
      <c r="Z16" s="299">
        <f t="shared" si="18"/>
        <v>132888.20499718096</v>
      </c>
      <c r="AA16" s="302">
        <f t="shared" si="19"/>
        <v>3.3634335867964893</v>
      </c>
      <c r="AB16" s="299">
        <f t="shared" si="20"/>
        <v>482425.25900000008</v>
      </c>
      <c r="AC16" s="303">
        <f t="shared" si="21"/>
        <v>13.395374934557736</v>
      </c>
      <c r="AD16" s="304">
        <v>4296827.0471847402</v>
      </c>
      <c r="AE16" s="299">
        <v>4346264.47</v>
      </c>
      <c r="AF16" s="299">
        <f>AE16-AD16</f>
        <v>49437.422815259546</v>
      </c>
      <c r="AG16" s="302">
        <f t="shared" si="6"/>
        <v>1.1505564983736321</v>
      </c>
      <c r="AH16" s="299">
        <f t="shared" si="3"/>
        <v>262407.66199999955</v>
      </c>
      <c r="AI16" s="303">
        <f t="shared" si="7"/>
        <v>6.4254863560828142</v>
      </c>
      <c r="AJ16" s="116"/>
    </row>
    <row r="17" spans="1:36">
      <c r="A17" s="9" t="s">
        <v>9</v>
      </c>
      <c r="B17" s="299">
        <v>1503760.6428865658</v>
      </c>
      <c r="C17" s="299">
        <v>1470176.4</v>
      </c>
      <c r="D17" s="299">
        <f t="shared" ref="D17:D22" si="25">C17-B17</f>
        <v>-33584.242886565858</v>
      </c>
      <c r="E17" s="300">
        <f t="shared" si="22"/>
        <v>-2.2333503038155555</v>
      </c>
      <c r="F17" s="301">
        <v>1598194.3130000001</v>
      </c>
      <c r="G17" s="299">
        <v>1554621.5049999999</v>
      </c>
      <c r="H17" s="299">
        <f t="shared" si="9"/>
        <v>-43572.808000000194</v>
      </c>
      <c r="I17" s="302">
        <f t="shared" si="10"/>
        <v>-2.7263773651033034</v>
      </c>
      <c r="J17" s="299">
        <f t="shared" si="11"/>
        <v>84445.104999999981</v>
      </c>
      <c r="K17" s="303">
        <f t="shared" si="12"/>
        <v>5.7438757009022936</v>
      </c>
      <c r="L17" s="301">
        <v>1612879.0439999998</v>
      </c>
      <c r="M17" s="299">
        <v>2309041.8280000002</v>
      </c>
      <c r="N17" s="299">
        <f t="shared" si="23"/>
        <v>696162.78400000045</v>
      </c>
      <c r="O17" s="302">
        <f t="shared" si="13"/>
        <v>43.162739734871309</v>
      </c>
      <c r="P17" s="299">
        <f t="shared" si="14"/>
        <v>754420.32300000032</v>
      </c>
      <c r="Q17" s="303">
        <f t="shared" si="15"/>
        <v>48.527588263356762</v>
      </c>
      <c r="R17" s="301">
        <v>2008389.1600000001</v>
      </c>
      <c r="S17" s="299">
        <v>2312881.9210000001</v>
      </c>
      <c r="T17" s="304">
        <f t="shared" si="16"/>
        <v>304492.76099999994</v>
      </c>
      <c r="U17" s="325">
        <f t="shared" si="8"/>
        <v>15.161043838734912</v>
      </c>
      <c r="V17" s="326">
        <f t="shared" si="17"/>
        <v>3840.0929999998771</v>
      </c>
      <c r="W17" s="327">
        <f t="shared" si="5"/>
        <v>0.16630677510617886</v>
      </c>
      <c r="X17" s="301">
        <v>1929016.0550000002</v>
      </c>
      <c r="Y17" s="299">
        <v>2131670.9950000001</v>
      </c>
      <c r="Z17" s="299">
        <f t="shared" si="18"/>
        <v>202654.93999999994</v>
      </c>
      <c r="AA17" s="302">
        <f t="shared" si="19"/>
        <v>10.505611888232821</v>
      </c>
      <c r="AB17" s="299">
        <f t="shared" si="20"/>
        <v>-181210.92599999998</v>
      </c>
      <c r="AC17" s="303">
        <f t="shared" si="21"/>
        <v>-7.8348541857965444</v>
      </c>
      <c r="AD17" s="304">
        <v>2284168.8613589602</v>
      </c>
      <c r="AE17" s="299">
        <v>2335315.463</v>
      </c>
      <c r="AF17" s="299">
        <f t="shared" ref="AF17:AF22" si="26">AE17-AD17</f>
        <v>51146.60164103983</v>
      </c>
      <c r="AG17" s="302">
        <f t="shared" si="6"/>
        <v>2.2391777817429244</v>
      </c>
      <c r="AH17" s="299">
        <f t="shared" ref="AH17:AH22" si="27">AE17-Y17</f>
        <v>203644.46799999988</v>
      </c>
      <c r="AI17" s="303">
        <f t="shared" ref="AI17:AI22" si="28">(AE17/Y17)*100-100</f>
        <v>9.5532785536634748</v>
      </c>
      <c r="AJ17" s="45"/>
    </row>
    <row r="18" spans="1:36">
      <c r="A18" s="9" t="s">
        <v>10</v>
      </c>
      <c r="B18" s="299">
        <v>263226.95599999995</v>
      </c>
      <c r="C18" s="299">
        <v>262887.71399999998</v>
      </c>
      <c r="D18" s="299">
        <f t="shared" si="25"/>
        <v>-339.24199999996927</v>
      </c>
      <c r="E18" s="300">
        <f t="shared" si="22"/>
        <v>-0.12887813814933224</v>
      </c>
      <c r="F18" s="301">
        <v>262208.91499999998</v>
      </c>
      <c r="G18" s="299">
        <v>256589.959</v>
      </c>
      <c r="H18" s="299">
        <f t="shared" si="9"/>
        <v>-5618.9559999999765</v>
      </c>
      <c r="I18" s="302">
        <f t="shared" si="10"/>
        <v>-2.1429309525955631</v>
      </c>
      <c r="J18" s="299">
        <f t="shared" si="11"/>
        <v>-6297.7549999999756</v>
      </c>
      <c r="K18" s="303">
        <f t="shared" si="12"/>
        <v>-2.395606437507368</v>
      </c>
      <c r="L18" s="301">
        <v>200216.454</v>
      </c>
      <c r="M18" s="299">
        <v>196534.41500000001</v>
      </c>
      <c r="N18" s="299">
        <f t="shared" si="23"/>
        <v>-3682.0389999999898</v>
      </c>
      <c r="O18" s="302">
        <f t="shared" si="13"/>
        <v>-1.8390291738959661</v>
      </c>
      <c r="P18" s="299">
        <f t="shared" si="14"/>
        <v>-60055.543999999994</v>
      </c>
      <c r="Q18" s="303">
        <f t="shared" si="15"/>
        <v>-23.405258816070813</v>
      </c>
      <c r="R18" s="301">
        <v>230000.72599999997</v>
      </c>
      <c r="S18" s="299">
        <v>228944.68799999999</v>
      </c>
      <c r="T18" s="304">
        <f t="shared" si="16"/>
        <v>-1056.0379999999714</v>
      </c>
      <c r="U18" s="325">
        <f t="shared" si="8"/>
        <v>-0.45914550721894898</v>
      </c>
      <c r="V18" s="326">
        <f t="shared" si="17"/>
        <v>32410.272999999986</v>
      </c>
      <c r="W18" s="327">
        <f t="shared" si="5"/>
        <v>16.490889394613134</v>
      </c>
      <c r="X18" s="301">
        <v>381011.60099999997</v>
      </c>
      <c r="Y18" s="299">
        <v>371952.39500000002</v>
      </c>
      <c r="Z18" s="299">
        <f t="shared" si="18"/>
        <v>-9059.2059999999474</v>
      </c>
      <c r="AA18" s="302">
        <f t="shared" si="19"/>
        <v>-2.3776719596524742</v>
      </c>
      <c r="AB18" s="299">
        <f t="shared" si="20"/>
        <v>143007.70700000002</v>
      </c>
      <c r="AC18" s="303">
        <f t="shared" si="21"/>
        <v>62.463867691920427</v>
      </c>
      <c r="AD18" s="304">
        <v>458479.32900000003</v>
      </c>
      <c r="AE18" s="299">
        <v>423852.35700000002</v>
      </c>
      <c r="AF18" s="299">
        <f t="shared" si="26"/>
        <v>-34626.972000000009</v>
      </c>
      <c r="AG18" s="302">
        <f t="shared" si="6"/>
        <v>-7.5525699436713296</v>
      </c>
      <c r="AH18" s="299">
        <f t="shared" si="27"/>
        <v>51899.962</v>
      </c>
      <c r="AI18" s="303">
        <f t="shared" si="28"/>
        <v>13.953388309275439</v>
      </c>
      <c r="AJ18" s="45"/>
    </row>
    <row r="19" spans="1:36">
      <c r="A19" s="9" t="s">
        <v>11</v>
      </c>
      <c r="B19" s="299">
        <v>2483432.4150007362</v>
      </c>
      <c r="C19" s="299">
        <v>2773810.06</v>
      </c>
      <c r="D19" s="299">
        <f t="shared" si="25"/>
        <v>290377.64499926381</v>
      </c>
      <c r="E19" s="300">
        <f t="shared" si="22"/>
        <v>11.69259301140184</v>
      </c>
      <c r="F19" s="301">
        <v>2913830.5787868076</v>
      </c>
      <c r="G19" s="299">
        <v>3627619.557</v>
      </c>
      <c r="H19" s="299">
        <f t="shared" si="9"/>
        <v>713788.97821319243</v>
      </c>
      <c r="I19" s="302">
        <f t="shared" si="10"/>
        <v>24.496584784637093</v>
      </c>
      <c r="J19" s="299">
        <f t="shared" si="11"/>
        <v>853809.49699999997</v>
      </c>
      <c r="K19" s="303">
        <f t="shared" si="12"/>
        <v>30.781108963171022</v>
      </c>
      <c r="L19" s="301">
        <v>3731367.3878421183</v>
      </c>
      <c r="M19" s="299">
        <v>3840822.392</v>
      </c>
      <c r="N19" s="299">
        <f t="shared" si="23"/>
        <v>109455.00415788172</v>
      </c>
      <c r="O19" s="302">
        <f t="shared" si="13"/>
        <v>2.9333751619987396</v>
      </c>
      <c r="P19" s="299">
        <f t="shared" si="14"/>
        <v>213202.83499999996</v>
      </c>
      <c r="Q19" s="303">
        <f>(M19/G19)*100-100</f>
        <v>5.8772104309724256</v>
      </c>
      <c r="R19" s="301">
        <v>4631576.8659999995</v>
      </c>
      <c r="S19" s="299">
        <v>4036138.4870000002</v>
      </c>
      <c r="T19" s="304">
        <f t="shared" si="16"/>
        <v>-595438.37899999926</v>
      </c>
      <c r="U19" s="325">
        <f t="shared" si="8"/>
        <v>-12.856061687566068</v>
      </c>
      <c r="V19" s="326">
        <f t="shared" si="17"/>
        <v>195316.0950000002</v>
      </c>
      <c r="W19" s="327">
        <f t="shared" si="5"/>
        <v>5.0852675564176479</v>
      </c>
      <c r="X19" s="301">
        <v>5407583.1445978032</v>
      </c>
      <c r="Y19" s="299">
        <v>4050225.0449999999</v>
      </c>
      <c r="Z19" s="299">
        <f t="shared" si="18"/>
        <v>-1357358.0995978033</v>
      </c>
      <c r="AA19" s="302">
        <f t="shared" si="19"/>
        <v>-25.101012102861688</v>
      </c>
      <c r="AB19" s="299">
        <f t="shared" si="20"/>
        <v>14086.557999999728</v>
      </c>
      <c r="AC19" s="303">
        <f t="shared" si="21"/>
        <v>0.3490107697089968</v>
      </c>
      <c r="AD19" s="304">
        <v>5211521.6454520002</v>
      </c>
      <c r="AE19" s="299">
        <v>4353920.2470000004</v>
      </c>
      <c r="AF19" s="299">
        <f t="shared" si="26"/>
        <v>-857601.39845199976</v>
      </c>
      <c r="AG19" s="302">
        <f t="shared" si="6"/>
        <v>-16.455873289913569</v>
      </c>
      <c r="AH19" s="299">
        <f t="shared" si="27"/>
        <v>303695.20200000051</v>
      </c>
      <c r="AI19" s="303">
        <f>(AE19/Y19)*100-100</f>
        <v>7.4982303112986841</v>
      </c>
      <c r="AJ19" s="45"/>
    </row>
    <row r="20" spans="1:36">
      <c r="A20" s="9" t="s">
        <v>12</v>
      </c>
      <c r="B20" s="299">
        <v>3514400.3830000004</v>
      </c>
      <c r="C20" s="299">
        <v>3620279.2039999999</v>
      </c>
      <c r="D20" s="299">
        <f t="shared" si="25"/>
        <v>105878.82099999953</v>
      </c>
      <c r="E20" s="300">
        <f t="shared" si="22"/>
        <v>3.0127136769094705</v>
      </c>
      <c r="F20" s="301">
        <v>3764403.1548586739</v>
      </c>
      <c r="G20" s="299">
        <v>4291338.648</v>
      </c>
      <c r="H20" s="299">
        <f t="shared" si="9"/>
        <v>526935.49314132612</v>
      </c>
      <c r="I20" s="302">
        <f t="shared" si="10"/>
        <v>13.997849631520381</v>
      </c>
      <c r="J20" s="299">
        <f t="shared" si="11"/>
        <v>671059.44400000013</v>
      </c>
      <c r="K20" s="303">
        <f t="shared" si="12"/>
        <v>18.536124044205081</v>
      </c>
      <c r="L20" s="301">
        <v>4087028.151802233</v>
      </c>
      <c r="M20" s="299">
        <v>4521750.1519999998</v>
      </c>
      <c r="N20" s="299">
        <f t="shared" si="23"/>
        <v>434722.00019776681</v>
      </c>
      <c r="O20" s="302">
        <f t="shared" si="13"/>
        <v>10.636628475535943</v>
      </c>
      <c r="P20" s="299">
        <f t="shared" si="14"/>
        <v>230411.50399999972</v>
      </c>
      <c r="Q20" s="303">
        <f t="shared" si="15"/>
        <v>5.3692221215723634</v>
      </c>
      <c r="R20" s="301">
        <v>4856642.7240000004</v>
      </c>
      <c r="S20" s="299">
        <v>4829498.5779999997</v>
      </c>
      <c r="T20" s="304">
        <f t="shared" si="16"/>
        <v>-27144.146000000648</v>
      </c>
      <c r="U20" s="325">
        <f t="shared" si="8"/>
        <v>-0.5589076146339238</v>
      </c>
      <c r="V20" s="326">
        <f t="shared" si="17"/>
        <v>307748.42599999998</v>
      </c>
      <c r="W20" s="327">
        <f t="shared" si="5"/>
        <v>6.8059582165078467</v>
      </c>
      <c r="X20" s="301">
        <v>5174055.3789999997</v>
      </c>
      <c r="Y20" s="299">
        <v>5204111.2869999995</v>
      </c>
      <c r="Z20" s="299">
        <f t="shared" si="18"/>
        <v>30055.907999999821</v>
      </c>
      <c r="AA20" s="302">
        <f t="shared" si="19"/>
        <v>0.58089652696776284</v>
      </c>
      <c r="AB20" s="299">
        <f t="shared" si="20"/>
        <v>374612.7089999998</v>
      </c>
      <c r="AC20" s="303">
        <f t="shared" si="21"/>
        <v>7.7567619691718619</v>
      </c>
      <c r="AD20" s="304">
        <v>5633216.9600494504</v>
      </c>
      <c r="AE20" s="299">
        <v>5631564.0810000002</v>
      </c>
      <c r="AF20" s="299">
        <f t="shared" si="26"/>
        <v>-1652.8790494501591</v>
      </c>
      <c r="AG20" s="302">
        <f t="shared" si="6"/>
        <v>-2.934165435438274E-2</v>
      </c>
      <c r="AH20" s="299">
        <f t="shared" si="27"/>
        <v>427452.79400000069</v>
      </c>
      <c r="AI20" s="303">
        <f t="shared" si="28"/>
        <v>8.2137519823564986</v>
      </c>
      <c r="AJ20" s="45"/>
    </row>
    <row r="21" spans="1:36">
      <c r="A21" s="9" t="s">
        <v>13</v>
      </c>
      <c r="B21" s="299">
        <v>1163355.0460000001</v>
      </c>
      <c r="C21" s="299">
        <v>1251881.693</v>
      </c>
      <c r="D21" s="299">
        <f t="shared" si="25"/>
        <v>88526.646999999881</v>
      </c>
      <c r="E21" s="300">
        <f t="shared" si="22"/>
        <v>7.6095984028593762</v>
      </c>
      <c r="F21" s="301">
        <v>1019830.3450000001</v>
      </c>
      <c r="G21" s="299">
        <v>1268153.8529999999</v>
      </c>
      <c r="H21" s="299">
        <f t="shared" si="9"/>
        <v>248323.5079999998</v>
      </c>
      <c r="I21" s="302">
        <f t="shared" si="10"/>
        <v>24.349491973588982</v>
      </c>
      <c r="J21" s="299">
        <f t="shared" si="11"/>
        <v>16272.159999999916</v>
      </c>
      <c r="K21" s="303">
        <f t="shared" si="12"/>
        <v>1.2998161160904402</v>
      </c>
      <c r="L21" s="301">
        <v>1572616.1809999996</v>
      </c>
      <c r="M21" s="299">
        <v>1280272.453</v>
      </c>
      <c r="N21" s="299">
        <f t="shared" si="23"/>
        <v>-292343.72799999965</v>
      </c>
      <c r="O21" s="302">
        <f t="shared" si="13"/>
        <v>-18.589642630670582</v>
      </c>
      <c r="P21" s="299">
        <f t="shared" si="14"/>
        <v>12118.600000000093</v>
      </c>
      <c r="Q21" s="303">
        <f t="shared" si="15"/>
        <v>0.95560960299350484</v>
      </c>
      <c r="R21" s="301">
        <v>1421186.2169056605</v>
      </c>
      <c r="S21" s="299">
        <v>1457470.175</v>
      </c>
      <c r="T21" s="304">
        <f t="shared" si="16"/>
        <v>36283.958094339585</v>
      </c>
      <c r="U21" s="325">
        <f t="shared" si="8"/>
        <v>2.5530755690369915</v>
      </c>
      <c r="V21" s="326">
        <f t="shared" si="17"/>
        <v>177197.72200000007</v>
      </c>
      <c r="W21" s="327">
        <f t="shared" si="5"/>
        <v>13.840625999940983</v>
      </c>
      <c r="X21" s="301">
        <v>1581066.0410000002</v>
      </c>
      <c r="Y21" s="299">
        <v>1549972.327</v>
      </c>
      <c r="Z21" s="299">
        <f t="shared" si="18"/>
        <v>-31093.714000000153</v>
      </c>
      <c r="AA21" s="302">
        <f t="shared" si="19"/>
        <v>-1.9666296785638195</v>
      </c>
      <c r="AB21" s="299">
        <f t="shared" si="20"/>
        <v>92502.152000000002</v>
      </c>
      <c r="AC21" s="303">
        <f t="shared" si="21"/>
        <v>6.3467612296080063</v>
      </c>
      <c r="AD21" s="304">
        <v>1569750.3613716401</v>
      </c>
      <c r="AE21" s="299">
        <v>1897609.882</v>
      </c>
      <c r="AF21" s="299">
        <f t="shared" si="26"/>
        <v>327859.52062835987</v>
      </c>
      <c r="AG21" s="302">
        <f t="shared" si="6"/>
        <v>20.886093018120278</v>
      </c>
      <c r="AH21" s="299">
        <f t="shared" si="27"/>
        <v>347637.55499999993</v>
      </c>
      <c r="AI21" s="303">
        <f t="shared" si="28"/>
        <v>22.42862978546583</v>
      </c>
      <c r="AJ21" s="45"/>
    </row>
    <row r="22" spans="1:36">
      <c r="A22" s="9" t="s">
        <v>198</v>
      </c>
      <c r="B22" s="299">
        <v>363837.02099999983</v>
      </c>
      <c r="C22" s="299">
        <v>370987.56300000002</v>
      </c>
      <c r="D22" s="299">
        <f t="shared" si="25"/>
        <v>7150.5420000001905</v>
      </c>
      <c r="E22" s="300">
        <f t="shared" si="22"/>
        <v>1.9653145741868343</v>
      </c>
      <c r="F22" s="301">
        <v>400471.10799999954</v>
      </c>
      <c r="G22" s="299">
        <v>456201.86900000001</v>
      </c>
      <c r="H22" s="299">
        <f t="shared" si="9"/>
        <v>55730.761000000464</v>
      </c>
      <c r="I22" s="302">
        <f t="shared" si="10"/>
        <v>13.916300049291081</v>
      </c>
      <c r="J22" s="299">
        <f t="shared" si="11"/>
        <v>85214.305999999982</v>
      </c>
      <c r="K22" s="303">
        <f t="shared" si="12"/>
        <v>22.969585640799494</v>
      </c>
      <c r="L22" s="301">
        <v>418114.29000000475</v>
      </c>
      <c r="M22" s="299">
        <v>449731.03899999999</v>
      </c>
      <c r="N22" s="299">
        <f t="shared" si="23"/>
        <v>31616.748999995238</v>
      </c>
      <c r="O22" s="302">
        <f t="shared" si="13"/>
        <v>7.5617480091376308</v>
      </c>
      <c r="P22" s="299">
        <f t="shared" si="14"/>
        <v>-6470.8300000000163</v>
      </c>
      <c r="Q22" s="303">
        <f t="shared" si="15"/>
        <v>-1.4184137417464342</v>
      </c>
      <c r="R22" s="301">
        <v>447595.1350000003</v>
      </c>
      <c r="S22" s="299">
        <v>491591.26400000002</v>
      </c>
      <c r="T22" s="304">
        <f t="shared" si="16"/>
        <v>43996.128999999724</v>
      </c>
      <c r="U22" s="325">
        <f t="shared" si="8"/>
        <v>9.8294475430345614</v>
      </c>
      <c r="V22" s="326">
        <f t="shared" si="17"/>
        <v>41860.225000000035</v>
      </c>
      <c r="W22" s="327">
        <f t="shared" si="5"/>
        <v>9.3078354327240618</v>
      </c>
      <c r="X22" s="301">
        <v>475278.04800000443</v>
      </c>
      <c r="Y22" s="299">
        <f>479619.84+(67/1000)</f>
        <v>479619.90700000001</v>
      </c>
      <c r="Z22" s="299">
        <f t="shared" si="18"/>
        <v>4341.858999995573</v>
      </c>
      <c r="AA22" s="302">
        <f t="shared" si="19"/>
        <v>0.9135408248427126</v>
      </c>
      <c r="AB22" s="299">
        <f t="shared" si="20"/>
        <v>-11971.357000000018</v>
      </c>
      <c r="AC22" s="303">
        <f t="shared" si="21"/>
        <v>-2.4352257407080344</v>
      </c>
      <c r="AD22" s="304">
        <v>433011.88900000101</v>
      </c>
      <c r="AE22" s="299">
        <v>529896.924</v>
      </c>
      <c r="AF22" s="299">
        <f t="shared" si="26"/>
        <v>96885.034999998985</v>
      </c>
      <c r="AG22" s="302">
        <f t="shared" si="6"/>
        <v>22.374682418939031</v>
      </c>
      <c r="AH22" s="299">
        <f t="shared" si="27"/>
        <v>50277.016999999993</v>
      </c>
      <c r="AI22" s="303">
        <f t="shared" si="28"/>
        <v>10.482679360512861</v>
      </c>
      <c r="AJ22" s="45"/>
    </row>
    <row r="23" spans="1:36">
      <c r="A23" s="61" t="s">
        <v>200</v>
      </c>
      <c r="Q23" s="41"/>
      <c r="AI23" s="160"/>
    </row>
    <row r="24" spans="1:36">
      <c r="A24" s="209" t="s">
        <v>217</v>
      </c>
      <c r="I24" s="159"/>
      <c r="J24" s="159"/>
      <c r="Q24" s="41"/>
      <c r="X24" s="340"/>
      <c r="Y24" s="342"/>
      <c r="Z24" s="159"/>
    </row>
    <row r="25" spans="1:36">
      <c r="A25" s="209" t="s">
        <v>230</v>
      </c>
      <c r="K25" s="159"/>
      <c r="O25" s="159"/>
      <c r="Q25" s="41"/>
      <c r="U25" s="159"/>
      <c r="X25" s="159"/>
      <c r="Y25" s="159"/>
      <c r="AB25" s="159"/>
      <c r="AH25" s="154"/>
    </row>
    <row r="26" spans="1:36">
      <c r="A26" s="287" t="s">
        <v>216</v>
      </c>
      <c r="R26" s="210"/>
      <c r="X26" s="211"/>
      <c r="AC26" s="211"/>
      <c r="AD26" s="211"/>
      <c r="AE26" s="211"/>
      <c r="AF26" s="211"/>
      <c r="AG26" s="211"/>
      <c r="AH26" s="211"/>
      <c r="AI26" s="211"/>
    </row>
  </sheetData>
  <mergeCells count="6">
    <mergeCell ref="AD3:AI3"/>
    <mergeCell ref="B3:E3"/>
    <mergeCell ref="F3:K3"/>
    <mergeCell ref="L3:Q3"/>
    <mergeCell ref="R3:W3"/>
    <mergeCell ref="X3:AC3"/>
  </mergeCells>
  <hyperlinks>
    <hyperlink ref="A23" r:id="rId1" display="Avots: Valsts Kase" xr:uid="{68FBDDB6-6325-4D32-91D5-19AC960EED9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837A6-5884-4442-8FE7-A2AA8AAC2BB8}">
  <sheetPr codeName="Sheet6"/>
  <dimension ref="A1:CO351"/>
  <sheetViews>
    <sheetView zoomScale="70" zoomScaleNormal="70" workbookViewId="0">
      <selection sqref="A1:I2"/>
    </sheetView>
  </sheetViews>
  <sheetFormatPr defaultColWidth="0" defaultRowHeight="14.4" zeroHeight="1"/>
  <cols>
    <col min="1" max="1" width="27.77734375" customWidth="1"/>
    <col min="2" max="2" width="55.21875" customWidth="1"/>
    <col min="3" max="3" width="12.77734375" customWidth="1"/>
    <col min="4" max="4" width="14.77734375" customWidth="1"/>
    <col min="5" max="5" width="23.77734375" customWidth="1"/>
    <col min="6" max="6" width="30" customWidth="1"/>
    <col min="7" max="7" width="24.5546875" customWidth="1"/>
    <col min="8" max="8" width="19.21875" customWidth="1"/>
    <col min="9" max="9" width="16.77734375" customWidth="1"/>
    <col min="10" max="10" width="14.21875" customWidth="1"/>
    <col min="11" max="11" width="20.44140625" customWidth="1"/>
    <col min="12" max="12" width="13.44140625" style="149" customWidth="1"/>
    <col min="13" max="13" width="13.77734375" hidden="1" customWidth="1"/>
    <col min="14" max="14" width="24.21875" hidden="1" customWidth="1"/>
    <col min="15" max="15" width="12.21875" hidden="1" customWidth="1"/>
    <col min="16" max="16" width="10" hidden="1" customWidth="1"/>
    <col min="17" max="39" width="10" hidden="1"/>
    <col min="94" max="16384" width="8.77734375" hidden="1"/>
  </cols>
  <sheetData>
    <row r="1" spans="1:12" s="80" customFormat="1" ht="15" customHeight="1">
      <c r="A1" s="387" t="s">
        <v>170</v>
      </c>
      <c r="B1" s="387"/>
      <c r="C1" s="387"/>
      <c r="D1" s="387"/>
      <c r="E1" s="387"/>
      <c r="F1" s="387"/>
      <c r="G1" s="387"/>
      <c r="H1" s="387"/>
      <c r="I1" s="387"/>
    </row>
    <row r="2" spans="1:12" s="80" customFormat="1" ht="15" customHeight="1">
      <c r="A2" s="387"/>
      <c r="B2" s="387"/>
      <c r="C2" s="387"/>
      <c r="D2" s="387"/>
      <c r="E2" s="387"/>
      <c r="F2" s="387"/>
      <c r="G2" s="387"/>
      <c r="H2" s="387"/>
      <c r="I2" s="387"/>
    </row>
    <row r="3" spans="1:12">
      <c r="A3" s="149"/>
      <c r="B3" s="149"/>
      <c r="C3" s="149"/>
      <c r="D3" s="149"/>
      <c r="E3" s="149"/>
      <c r="F3" s="149"/>
      <c r="G3" s="149"/>
      <c r="H3" s="149"/>
      <c r="I3" s="149"/>
      <c r="J3" s="149"/>
      <c r="K3" s="149"/>
    </row>
    <row r="4" spans="1:12">
      <c r="A4" s="149"/>
      <c r="B4" s="149"/>
      <c r="C4" s="149"/>
      <c r="D4" s="149"/>
      <c r="E4" s="149"/>
      <c r="F4" s="149"/>
      <c r="G4" s="149"/>
      <c r="H4" s="149"/>
      <c r="I4" s="149"/>
      <c r="J4" s="149"/>
      <c r="K4" s="149"/>
    </row>
    <row r="5" spans="1:12">
      <c r="A5" s="149"/>
      <c r="B5" s="149"/>
      <c r="C5" s="149"/>
      <c r="D5" s="149"/>
      <c r="E5" s="149"/>
      <c r="F5" s="149"/>
      <c r="G5" s="149"/>
      <c r="H5" s="149"/>
      <c r="I5" s="149"/>
      <c r="J5" s="149"/>
      <c r="K5" s="149"/>
    </row>
    <row r="6" spans="1:12">
      <c r="A6" s="149"/>
      <c r="B6" s="149"/>
      <c r="C6" s="149"/>
      <c r="D6" s="149"/>
      <c r="E6" s="149"/>
      <c r="F6" s="149"/>
      <c r="G6" s="149"/>
      <c r="H6" s="149"/>
      <c r="I6" s="149"/>
      <c r="J6" s="149"/>
      <c r="K6" s="149"/>
    </row>
    <row r="7" spans="1:12">
      <c r="A7" s="149"/>
      <c r="B7" s="149"/>
      <c r="C7" s="149"/>
      <c r="D7" s="149"/>
      <c r="E7" s="149"/>
      <c r="F7" s="149"/>
      <c r="G7" s="149"/>
      <c r="H7" s="149"/>
      <c r="I7" s="149"/>
      <c r="J7" s="149"/>
      <c r="K7" s="149"/>
    </row>
    <row r="8" spans="1:12">
      <c r="A8" s="149"/>
      <c r="B8" s="149"/>
      <c r="C8" s="149"/>
      <c r="D8" s="149"/>
      <c r="E8" s="149"/>
      <c r="F8" s="149"/>
      <c r="G8" s="149"/>
      <c r="H8" s="149"/>
      <c r="I8" s="149"/>
      <c r="J8" s="149"/>
      <c r="K8" s="149"/>
      <c r="L8" s="172"/>
    </row>
    <row r="9" spans="1:12">
      <c r="A9" s="149"/>
      <c r="B9" s="149"/>
      <c r="C9" s="149"/>
      <c r="D9" s="149"/>
      <c r="E9" s="149"/>
      <c r="F9" s="149"/>
      <c r="G9" s="149"/>
      <c r="H9" s="149"/>
      <c r="I9" s="149"/>
      <c r="J9" s="149"/>
      <c r="K9" s="149"/>
    </row>
    <row r="10" spans="1:12">
      <c r="A10" s="149"/>
      <c r="B10" s="149"/>
      <c r="C10" s="149"/>
      <c r="D10" s="149"/>
      <c r="E10" s="149"/>
      <c r="F10" s="149"/>
      <c r="G10" s="149"/>
      <c r="H10" s="149"/>
      <c r="I10" s="149"/>
      <c r="J10" s="149"/>
      <c r="K10" s="149"/>
    </row>
    <row r="11" spans="1:12">
      <c r="A11" s="149"/>
      <c r="B11" s="149"/>
      <c r="C11" s="149"/>
      <c r="D11" s="149"/>
      <c r="E11" s="149"/>
      <c r="F11" s="149"/>
      <c r="G11" s="149"/>
      <c r="H11" s="149"/>
      <c r="I11" s="149"/>
      <c r="J11" s="149"/>
      <c r="K11" s="149"/>
    </row>
    <row r="12" spans="1:12">
      <c r="A12" s="149"/>
      <c r="B12" s="149"/>
      <c r="C12" s="149"/>
      <c r="D12" s="149"/>
      <c r="E12" s="149"/>
      <c r="F12" s="149"/>
      <c r="G12" s="149"/>
      <c r="H12" s="149"/>
      <c r="I12" s="149"/>
      <c r="J12" s="149"/>
      <c r="K12" s="149"/>
    </row>
    <row r="13" spans="1:12">
      <c r="A13" s="149"/>
      <c r="B13" s="149"/>
      <c r="C13" s="149"/>
      <c r="D13" s="149"/>
      <c r="E13" s="149"/>
      <c r="F13" s="149"/>
      <c r="G13" s="149"/>
      <c r="H13" s="149"/>
      <c r="I13" s="149"/>
      <c r="J13" s="149"/>
      <c r="K13" s="149"/>
    </row>
    <row r="14" spans="1:12">
      <c r="A14" s="149"/>
      <c r="B14" s="149"/>
      <c r="C14" s="149"/>
      <c r="D14" s="149"/>
      <c r="E14" s="149"/>
      <c r="F14" s="149"/>
      <c r="G14" s="149"/>
      <c r="H14" s="149"/>
      <c r="I14" s="149"/>
      <c r="J14" s="149"/>
      <c r="K14" s="149"/>
    </row>
    <row r="15" spans="1:12">
      <c r="A15" s="149"/>
      <c r="B15" s="149"/>
      <c r="C15" s="149"/>
      <c r="D15" s="149"/>
      <c r="E15" s="149"/>
      <c r="F15" s="149"/>
      <c r="G15" s="149"/>
      <c r="H15" s="149"/>
      <c r="I15" s="149"/>
      <c r="J15" s="149"/>
      <c r="K15" s="149"/>
    </row>
    <row r="16" spans="1:12">
      <c r="A16" s="149"/>
      <c r="B16" s="149"/>
      <c r="C16" s="149"/>
      <c r="D16" s="149"/>
      <c r="E16" s="149"/>
      <c r="F16" s="149"/>
      <c r="G16" s="149"/>
      <c r="H16" s="149"/>
      <c r="I16" s="149"/>
      <c r="J16" s="149"/>
      <c r="K16" s="149"/>
    </row>
    <row r="17" spans="1:11">
      <c r="A17" s="149"/>
      <c r="B17" s="149"/>
      <c r="C17" s="149"/>
      <c r="D17" s="149"/>
      <c r="E17" s="149"/>
      <c r="F17" s="149"/>
      <c r="G17" s="149"/>
      <c r="H17" s="149"/>
      <c r="I17" s="149"/>
      <c r="J17" s="149"/>
      <c r="K17" s="149"/>
    </row>
    <row r="18" spans="1:11">
      <c r="A18" s="149"/>
      <c r="B18" s="149"/>
      <c r="C18" s="149"/>
      <c r="D18" s="149"/>
      <c r="E18" s="149"/>
      <c r="F18" s="149"/>
      <c r="G18" s="149"/>
      <c r="H18" s="149"/>
      <c r="I18" s="149"/>
      <c r="J18" s="149"/>
      <c r="K18" s="149"/>
    </row>
    <row r="19" spans="1:11">
      <c r="A19" s="149"/>
      <c r="B19" s="149"/>
      <c r="C19" s="149"/>
      <c r="D19" s="149"/>
      <c r="E19" s="149"/>
      <c r="F19" s="149"/>
      <c r="G19" s="149"/>
      <c r="H19" s="149"/>
      <c r="I19" s="149"/>
      <c r="J19" s="149"/>
      <c r="K19" s="149"/>
    </row>
    <row r="20" spans="1:11">
      <c r="A20" s="149"/>
      <c r="B20" s="149"/>
      <c r="C20" s="149"/>
      <c r="D20" s="149"/>
      <c r="E20" s="149"/>
      <c r="F20" s="149"/>
      <c r="G20" s="149"/>
      <c r="H20" s="149"/>
      <c r="I20" s="149"/>
      <c r="J20" s="149"/>
      <c r="K20" s="149"/>
    </row>
    <row r="21" spans="1:11">
      <c r="A21" s="149"/>
      <c r="B21" s="149"/>
      <c r="C21" s="149"/>
      <c r="D21" s="149"/>
      <c r="E21" s="149"/>
      <c r="F21" s="149"/>
      <c r="G21" s="149"/>
      <c r="H21" s="149"/>
      <c r="I21" s="149"/>
      <c r="J21" s="149"/>
      <c r="K21" s="149"/>
    </row>
    <row r="22" spans="1:11" s="80" customFormat="1" ht="15" customHeight="1">
      <c r="A22" s="387" t="s">
        <v>171</v>
      </c>
      <c r="B22" s="387"/>
      <c r="C22" s="387"/>
      <c r="D22" s="387"/>
      <c r="E22" s="387"/>
      <c r="F22" s="387"/>
      <c r="G22" s="387"/>
      <c r="H22" s="387"/>
      <c r="I22" s="387"/>
    </row>
    <row r="23" spans="1:11" s="80" customFormat="1" ht="15" customHeight="1">
      <c r="A23" s="387"/>
      <c r="B23" s="387"/>
      <c r="C23" s="387"/>
      <c r="D23" s="387"/>
      <c r="E23" s="387"/>
      <c r="F23" s="387"/>
      <c r="G23" s="387"/>
      <c r="H23" s="387"/>
      <c r="I23" s="387"/>
    </row>
    <row r="24" spans="1:11">
      <c r="A24" s="149"/>
      <c r="B24" s="149"/>
      <c r="C24" s="149"/>
      <c r="D24" s="149"/>
      <c r="E24" s="149"/>
      <c r="F24" s="149"/>
      <c r="G24" s="149"/>
      <c r="H24" s="149"/>
      <c r="I24" s="149"/>
      <c r="J24" s="149"/>
      <c r="K24" s="149"/>
    </row>
    <row r="25" spans="1:11">
      <c r="A25" s="149"/>
      <c r="B25" s="149"/>
      <c r="C25" s="149"/>
      <c r="D25" s="149"/>
      <c r="E25" s="149"/>
      <c r="F25" s="149"/>
      <c r="G25" s="149"/>
      <c r="H25" s="149"/>
      <c r="I25" s="149"/>
      <c r="J25" s="149"/>
      <c r="K25" s="149"/>
    </row>
    <row r="26" spans="1:11">
      <c r="A26" s="149"/>
      <c r="B26" s="149"/>
      <c r="C26" s="149"/>
      <c r="D26" s="149"/>
      <c r="E26" s="149"/>
      <c r="F26" s="149"/>
      <c r="G26" s="149"/>
      <c r="H26" s="149"/>
      <c r="I26" s="149"/>
      <c r="J26" s="149"/>
      <c r="K26" s="149"/>
    </row>
    <row r="27" spans="1:11">
      <c r="A27" s="149"/>
      <c r="B27" s="149"/>
      <c r="C27" s="149"/>
      <c r="D27" s="149"/>
      <c r="E27" s="149"/>
      <c r="F27" s="149"/>
      <c r="G27" s="149"/>
      <c r="H27" s="149"/>
      <c r="I27" s="149"/>
      <c r="J27" s="149"/>
      <c r="K27" s="149"/>
    </row>
    <row r="28" spans="1:11">
      <c r="A28" s="149"/>
      <c r="B28" s="149"/>
      <c r="C28" s="149"/>
      <c r="D28" s="149"/>
      <c r="E28" s="149"/>
      <c r="F28" s="149"/>
      <c r="G28" s="149"/>
      <c r="H28" s="149"/>
      <c r="I28" s="149"/>
      <c r="J28" s="149"/>
      <c r="K28" s="149"/>
    </row>
    <row r="29" spans="1:11">
      <c r="A29" s="149"/>
      <c r="B29" s="149"/>
      <c r="C29" s="149"/>
      <c r="D29" s="149"/>
      <c r="E29" s="149"/>
      <c r="F29" s="149"/>
      <c r="G29" s="149"/>
      <c r="H29" s="149"/>
      <c r="I29" s="149"/>
      <c r="J29" s="149"/>
      <c r="K29" s="149"/>
    </row>
    <row r="30" spans="1:11">
      <c r="A30" s="149"/>
      <c r="B30" s="149"/>
      <c r="C30" s="149"/>
      <c r="D30" s="149"/>
      <c r="E30" s="149"/>
      <c r="F30" s="149"/>
      <c r="G30" s="149"/>
      <c r="H30" s="149"/>
      <c r="I30" s="149"/>
      <c r="J30" s="149"/>
      <c r="K30" s="149"/>
    </row>
    <row r="31" spans="1:11">
      <c r="A31" s="149"/>
      <c r="B31" s="149"/>
      <c r="C31" s="149"/>
      <c r="D31" s="149"/>
      <c r="E31" s="149"/>
      <c r="F31" s="149"/>
      <c r="G31" s="149"/>
      <c r="H31" s="149"/>
      <c r="I31" s="149"/>
      <c r="J31" s="149"/>
      <c r="K31" s="149"/>
    </row>
    <row r="32" spans="1:11">
      <c r="A32" s="149"/>
      <c r="B32" s="149"/>
      <c r="C32" s="149"/>
      <c r="D32" s="149"/>
      <c r="E32" s="149"/>
      <c r="F32" s="149"/>
      <c r="G32" s="149"/>
      <c r="H32" s="149"/>
      <c r="I32" s="149"/>
      <c r="J32" s="149"/>
      <c r="K32" s="149"/>
    </row>
    <row r="33" spans="1:13">
      <c r="A33" s="149"/>
      <c r="B33" s="149"/>
      <c r="C33" s="149"/>
      <c r="D33" s="149"/>
      <c r="E33" s="149"/>
      <c r="F33" s="149"/>
      <c r="G33" s="149"/>
      <c r="H33" s="149"/>
      <c r="I33" s="149"/>
      <c r="J33" s="149"/>
      <c r="K33" s="149"/>
    </row>
    <row r="34" spans="1:13">
      <c r="A34" s="149"/>
      <c r="B34" s="149"/>
      <c r="C34" s="149"/>
      <c r="D34" s="149"/>
      <c r="E34" s="149"/>
      <c r="F34" s="149"/>
      <c r="G34" s="149"/>
      <c r="H34" s="149"/>
      <c r="I34" s="149"/>
      <c r="J34" s="149"/>
      <c r="K34" s="149"/>
    </row>
    <row r="35" spans="1:13">
      <c r="A35" s="149"/>
      <c r="B35" s="149"/>
      <c r="C35" s="149"/>
      <c r="D35" s="149"/>
      <c r="E35" s="149"/>
      <c r="F35" s="149"/>
      <c r="G35" s="149"/>
      <c r="H35" s="149"/>
      <c r="I35" s="149"/>
      <c r="J35" s="149"/>
      <c r="K35" s="149"/>
    </row>
    <row r="36" spans="1:13">
      <c r="A36" s="149"/>
      <c r="B36" s="149"/>
      <c r="C36" s="149"/>
      <c r="D36" s="149"/>
      <c r="E36" s="149"/>
      <c r="F36" s="149"/>
      <c r="G36" s="149"/>
      <c r="H36" s="149"/>
      <c r="I36" s="149"/>
      <c r="J36" s="149"/>
      <c r="K36" s="149"/>
    </row>
    <row r="37" spans="1:13">
      <c r="A37" s="149"/>
      <c r="B37" s="149"/>
      <c r="C37" s="149"/>
      <c r="D37" s="149"/>
      <c r="E37" s="149"/>
      <c r="F37" s="149"/>
      <c r="G37" s="149"/>
      <c r="H37" s="149"/>
      <c r="I37" s="149"/>
      <c r="J37" s="149"/>
      <c r="K37" s="149"/>
    </row>
    <row r="38" spans="1:13">
      <c r="A38" s="149"/>
      <c r="B38" s="149"/>
      <c r="C38" s="149"/>
      <c r="D38" s="149"/>
      <c r="E38" s="149"/>
      <c r="F38" s="149"/>
      <c r="G38" s="149"/>
      <c r="H38" s="149"/>
      <c r="I38" s="149"/>
      <c r="J38" s="149"/>
      <c r="K38" s="149"/>
    </row>
    <row r="39" spans="1:13">
      <c r="A39" s="149"/>
      <c r="B39" s="149"/>
      <c r="C39" s="149"/>
      <c r="D39" s="149"/>
      <c r="E39" s="149"/>
      <c r="F39" s="149"/>
      <c r="G39" s="149"/>
      <c r="H39" s="149"/>
      <c r="I39" s="149"/>
      <c r="J39" s="149"/>
      <c r="K39" s="149"/>
    </row>
    <row r="40" spans="1:13">
      <c r="A40" s="149"/>
      <c r="B40" s="149"/>
      <c r="C40" s="149"/>
      <c r="D40" s="149"/>
      <c r="E40" s="149"/>
      <c r="F40" s="149"/>
      <c r="G40" s="149"/>
      <c r="H40" s="149"/>
      <c r="I40" s="149"/>
      <c r="J40" s="149"/>
      <c r="K40" s="149"/>
    </row>
    <row r="41" spans="1:13">
      <c r="A41" s="149"/>
      <c r="B41" s="149"/>
      <c r="C41" s="149"/>
      <c r="D41" s="149"/>
      <c r="E41" s="149"/>
      <c r="F41" s="149"/>
      <c r="G41" s="149"/>
      <c r="H41" s="149"/>
      <c r="I41" s="149"/>
      <c r="J41" s="149"/>
      <c r="K41" s="149"/>
    </row>
    <row r="42" spans="1:13" s="80" customFormat="1" ht="15" customHeight="1">
      <c r="A42" s="387" t="s">
        <v>169</v>
      </c>
      <c r="B42" s="387"/>
      <c r="C42" s="387"/>
      <c r="D42" s="387"/>
      <c r="E42" s="387"/>
      <c r="F42" s="387"/>
      <c r="G42" s="387"/>
      <c r="H42" s="387"/>
      <c r="I42" s="387"/>
      <c r="J42" s="387"/>
      <c r="K42" s="387"/>
      <c r="L42" s="387"/>
      <c r="M42" s="387"/>
    </row>
    <row r="43" spans="1:13" s="80" customFormat="1" ht="15" customHeight="1">
      <c r="A43" s="387"/>
      <c r="B43" s="387"/>
      <c r="C43" s="387"/>
      <c r="D43" s="387"/>
      <c r="E43" s="387"/>
      <c r="F43" s="387"/>
      <c r="G43" s="387"/>
      <c r="H43" s="387"/>
      <c r="I43" s="387"/>
      <c r="J43" s="387"/>
      <c r="K43" s="387"/>
      <c r="L43" s="387"/>
      <c r="M43" s="387"/>
    </row>
    <row r="44" spans="1:13">
      <c r="A44" s="149"/>
      <c r="B44" s="149"/>
      <c r="C44" s="149"/>
      <c r="D44" s="149"/>
      <c r="E44" s="149"/>
      <c r="F44" s="149"/>
      <c r="G44" s="149"/>
      <c r="H44" s="149"/>
      <c r="I44" s="149"/>
      <c r="J44" s="149"/>
      <c r="K44" s="149"/>
    </row>
    <row r="45" spans="1:13">
      <c r="A45" s="156" t="s">
        <v>89</v>
      </c>
      <c r="B45" s="168" cm="1">
        <f t="array" aca="1" ref="B45" ca="1">INDIRECT(ADDRESS(ROW('1'!BA11),COLUMN('1'!BN11)+COUNT('1'!BO11:DR11)-1,1,1,"1"))</f>
        <v>51063.656000001356</v>
      </c>
      <c r="C45" s="149"/>
      <c r="D45" s="149"/>
      <c r="E45" s="151"/>
      <c r="F45" s="155" t="s">
        <v>2</v>
      </c>
      <c r="G45" s="155" t="s">
        <v>7</v>
      </c>
      <c r="H45" s="155" t="s">
        <v>205</v>
      </c>
      <c r="I45" s="222" t="s">
        <v>88</v>
      </c>
      <c r="J45" s="149"/>
      <c r="K45" s="153"/>
      <c r="L45" s="153"/>
      <c r="M45" s="110" t="s">
        <v>32</v>
      </c>
    </row>
    <row r="46" spans="1:13">
      <c r="A46" s="150" t="s">
        <v>2</v>
      </c>
      <c r="B46" s="157" cm="1">
        <f t="array" aca="1" ref="B46" ca="1">INDIRECT(ADDRESS(ROW('1'!BA12),COLUMN('1'!BN12)+COUNT('1'!BO12:DR12)-1,1,1,"1"))</f>
        <v>11422109.916000001</v>
      </c>
      <c r="C46" s="149"/>
      <c r="D46" s="149"/>
      <c r="E46" s="152" t="str">
        <f>A45</f>
        <v>Kopbudžeta bilance</v>
      </c>
      <c r="F46" s="169">
        <f ca="1">B46/1000</f>
        <v>11422.109916000001</v>
      </c>
      <c r="G46" s="169">
        <f ca="1">B47/1000</f>
        <v>11371.046259999999</v>
      </c>
      <c r="H46" s="384">
        <f ca="1">F46-G46</f>
        <v>51.063656000002084</v>
      </c>
      <c r="I46" s="223" cm="1">
        <f t="array" aca="1" ref="I46" ca="1">INDIRECT(ADDRESS(ROW('2'!C61)+COUNT('2'!C62:C73),COLUMN('2'!C62),1,1,"2"))</f>
        <v>0.11213349483070673</v>
      </c>
      <c r="J46" s="154"/>
      <c r="K46" s="153"/>
      <c r="L46" s="153" t="s">
        <v>10</v>
      </c>
      <c r="M46" s="110">
        <v>0</v>
      </c>
    </row>
    <row r="47" spans="1:13">
      <c r="A47" s="150" t="s">
        <v>7</v>
      </c>
      <c r="B47" s="157" cm="1">
        <f t="array" aca="1" ref="B47" ca="1">INDIRECT(ADDRESS(ROW('1'!BA18),COLUMN('1'!BN18)+COUNT('1'!BO18:DR18)-1,1,1,"1"))</f>
        <v>11371046.26</v>
      </c>
      <c r="C47" s="149"/>
      <c r="D47" s="149"/>
      <c r="E47" s="152" t="str">
        <f>A48</f>
        <v>Pamatbudžeta bilance</v>
      </c>
      <c r="F47" s="169">
        <f ca="1">B49/1000</f>
        <v>6764.3463334199996</v>
      </c>
      <c r="G47" s="169">
        <f ca="1">B50/1000</f>
        <v>7177.4294089300001</v>
      </c>
      <c r="H47" s="384">
        <f ca="1">F47-G47</f>
        <v>-413.08307551000053</v>
      </c>
      <c r="I47" s="223" cm="1">
        <f t="array" aca="1" ref="I47" ca="1">INDIRECT(ADDRESS(ROW('2'!C140)+COUNT('2'!C141:C152),COLUMN('2'!C62),1,1,"2"))</f>
        <v>-0.90711187840431506</v>
      </c>
      <c r="J47" s="149"/>
      <c r="K47" s="153"/>
      <c r="L47" s="153" t="s">
        <v>14</v>
      </c>
      <c r="M47" s="110">
        <v>2</v>
      </c>
    </row>
    <row r="48" spans="1:13">
      <c r="A48" s="156" t="s">
        <v>90</v>
      </c>
      <c r="B48" s="168" cm="1">
        <f t="array" aca="1" ref="B48" ca="1">INDIRECT(ADDRESS(ROW('1'!BA29),COLUMN('1'!BN29)+COUNT('1'!BO29:DR29)-1,1,1,"1"))</f>
        <v>-413083.07550999988</v>
      </c>
      <c r="C48" s="149"/>
      <c r="D48" s="149"/>
      <c r="E48" s="152" t="str">
        <f>A51</f>
        <v>Speciālā budžeta bilance</v>
      </c>
      <c r="F48" s="169">
        <f ca="1">B52/1000</f>
        <v>3239.1013807499999</v>
      </c>
      <c r="G48" s="169">
        <f ca="1">B53/1000</f>
        <v>2878.5863199099999</v>
      </c>
      <c r="H48" s="384">
        <f ca="1">F48-G48</f>
        <v>360.51506083999993</v>
      </c>
      <c r="I48" s="223" cm="1">
        <f t="array" aca="1" ref="I48" ca="1">INDIRECT(ADDRESS(ROW('2'!C221)+COUNT('2'!C222:C233),COLUMN('2'!C62),1,1,"2"))</f>
        <v>0.79167487950907744</v>
      </c>
      <c r="J48" s="149"/>
      <c r="K48" s="153"/>
      <c r="L48" s="153" t="s">
        <v>13</v>
      </c>
      <c r="M48" s="110">
        <v>14</v>
      </c>
    </row>
    <row r="49" spans="1:13">
      <c r="A49" s="150" t="s">
        <v>2</v>
      </c>
      <c r="B49" s="157" cm="1">
        <f t="array" aca="1" ref="B49" ca="1">INDIRECT(ADDRESS(ROW('1'!BA30),COLUMN('1'!BN30)+COUNT('1'!BO30:DR30)-1,1,1,"1"))</f>
        <v>6764346.33342</v>
      </c>
      <c r="C49" s="149"/>
      <c r="D49" s="149"/>
      <c r="E49" s="152" t="str">
        <f>A54</f>
        <v>Pašvaldību budžeta bilance</v>
      </c>
      <c r="F49" s="169">
        <f ca="1">B55/1000</f>
        <v>2427.809968</v>
      </c>
      <c r="G49" s="169">
        <f ca="1">B56/1000</f>
        <v>2384.8118849999996</v>
      </c>
      <c r="H49" s="384">
        <f ca="1">F49-G49</f>
        <v>42.998083000000406</v>
      </c>
      <c r="I49" s="223" cm="1">
        <f t="array" aca="1" ref="I49" ca="1">INDIRECT(ADDRESS(ROW('2'!C376)+COUNT('2'!C377:C388),COLUMN('2'!C62),1,1,"2"))</f>
        <v>9.4421858822852048E-2</v>
      </c>
      <c r="J49" s="149"/>
      <c r="K49" s="153"/>
      <c r="L49" s="153" t="s">
        <v>9</v>
      </c>
      <c r="M49" s="110">
        <v>15</v>
      </c>
    </row>
    <row r="50" spans="1:13">
      <c r="A50" s="150" t="s">
        <v>7</v>
      </c>
      <c r="B50" s="157" cm="1">
        <f t="array" aca="1" ref="B50" ca="1">INDIRECT(ADDRESS(ROW('1'!BA31),COLUMN('1'!BN31)+COUNT('1'!BO31:DR31)-1,1,1,"1"))</f>
        <v>7177429.4089299999</v>
      </c>
      <c r="C50" s="149"/>
      <c r="D50" s="149"/>
      <c r="E50" s="149"/>
      <c r="F50" s="154"/>
      <c r="G50" s="154"/>
      <c r="H50" s="154"/>
      <c r="I50" s="149"/>
      <c r="J50" s="149"/>
      <c r="K50" s="153"/>
      <c r="L50" s="153" t="s">
        <v>12</v>
      </c>
      <c r="M50" s="110">
        <v>17</v>
      </c>
    </row>
    <row r="51" spans="1:13">
      <c r="A51" s="156" t="s">
        <v>91</v>
      </c>
      <c r="B51" s="168" cm="1">
        <f t="array" aca="1" ref="B51" ca="1">INDIRECT(ADDRESS(ROW('1'!BA32),COLUMN('1'!BN32)+COUNT('1'!BO32:DR32)-1,1,1,"1"))</f>
        <v>360515.06083999993</v>
      </c>
      <c r="C51" s="149"/>
      <c r="D51" s="149"/>
      <c r="E51" s="149"/>
      <c r="F51" s="149"/>
      <c r="G51" s="149"/>
      <c r="H51" s="149"/>
      <c r="I51" s="149"/>
      <c r="J51" s="149"/>
      <c r="K51" s="153"/>
      <c r="L51" s="153" t="s">
        <v>8</v>
      </c>
      <c r="M51" s="110">
        <v>19</v>
      </c>
    </row>
    <row r="52" spans="1:13">
      <c r="A52" s="150" t="s">
        <v>2</v>
      </c>
      <c r="B52" s="157" cm="1">
        <f t="array" aca="1" ref="B52" ca="1">INDIRECT(ADDRESS(ROW('1'!BA33),COLUMN('1'!BN33)+COUNT('1'!BO33:DR33)-1,1,1,"1"))</f>
        <v>3239101.38075</v>
      </c>
      <c r="C52" s="149"/>
      <c r="D52" s="149"/>
      <c r="E52" s="149"/>
      <c r="F52" s="149"/>
      <c r="G52" s="149"/>
      <c r="H52" s="149"/>
      <c r="I52" s="149"/>
      <c r="J52" s="149"/>
      <c r="K52" s="153"/>
      <c r="L52" s="153" t="s">
        <v>11</v>
      </c>
      <c r="M52" s="110">
        <v>33</v>
      </c>
    </row>
    <row r="53" spans="1:13">
      <c r="A53" s="150" t="s">
        <v>7</v>
      </c>
      <c r="B53" s="157" cm="1">
        <f t="array" aca="1" ref="B53" ca="1">INDIRECT(ADDRESS(ROW('1'!BA34),COLUMN('1'!BN34)+COUNT('1'!BO34:DR34)-1,1,1,"1"))</f>
        <v>2878586.3199100001</v>
      </c>
      <c r="C53" s="149"/>
      <c r="D53" s="149"/>
      <c r="E53" s="149"/>
      <c r="F53" s="149"/>
      <c r="G53" s="149"/>
      <c r="H53" s="149"/>
      <c r="I53" s="149"/>
      <c r="J53" s="149"/>
      <c r="K53" s="153"/>
      <c r="L53" s="153"/>
      <c r="M53" s="110"/>
    </row>
    <row r="54" spans="1:13">
      <c r="A54" s="156" t="s">
        <v>92</v>
      </c>
      <c r="B54" s="168" cm="1">
        <f t="array" aca="1" ref="B54" ca="1">INDIRECT(ADDRESS(ROW('1'!BA38),COLUMN('1'!BN38)+COUNT('1'!BO38:DR38)-1,1,1,"1"))</f>
        <v>42998.083000000101</v>
      </c>
      <c r="C54" s="149"/>
      <c r="D54" s="149"/>
      <c r="E54" s="29"/>
      <c r="F54" s="149"/>
      <c r="G54" s="149"/>
      <c r="H54" s="149"/>
      <c r="I54" s="149"/>
      <c r="J54" s="149"/>
      <c r="K54" s="149"/>
    </row>
    <row r="55" spans="1:13">
      <c r="A55" s="150" t="s">
        <v>2</v>
      </c>
      <c r="B55" s="157" cm="1">
        <f t="array" aca="1" ref="B55" ca="1">INDIRECT(ADDRESS(ROW('1'!BA39),COLUMN('1'!BN39)+COUNT('1'!BO39:DR39)-1,1,1,"1"))</f>
        <v>2427809.9679999999</v>
      </c>
      <c r="C55" s="149"/>
      <c r="D55" s="149"/>
      <c r="E55" s="149"/>
      <c r="F55" s="149"/>
      <c r="G55" s="149"/>
      <c r="H55" s="149"/>
      <c r="I55" s="149"/>
      <c r="J55" s="149"/>
      <c r="K55" s="149"/>
    </row>
    <row r="56" spans="1:13">
      <c r="A56" s="150" t="s">
        <v>7</v>
      </c>
      <c r="B56" s="157" cm="1">
        <f t="array" aca="1" ref="B56" ca="1">INDIRECT(ADDRESS(ROW('1'!BA40),COLUMN('1'!BN40)+COUNT('1'!BO40:DR40)-1,1,1,"1"))</f>
        <v>2384811.8849999998</v>
      </c>
      <c r="C56" s="149"/>
      <c r="D56" s="149"/>
      <c r="E56" s="149"/>
      <c r="F56" s="149"/>
      <c r="G56" s="149"/>
      <c r="H56" s="149"/>
      <c r="I56" s="149"/>
      <c r="J56" s="149"/>
      <c r="K56" s="149"/>
    </row>
    <row r="57" spans="1:13">
      <c r="A57" s="149"/>
      <c r="B57" s="149"/>
      <c r="C57" s="149"/>
      <c r="D57" s="149"/>
      <c r="E57" s="149"/>
      <c r="F57" s="149"/>
      <c r="G57" s="149"/>
      <c r="H57" s="149"/>
      <c r="I57" s="149"/>
      <c r="J57" s="149"/>
      <c r="K57" s="149"/>
    </row>
    <row r="58" spans="1:13">
      <c r="A58" s="149"/>
      <c r="B58" s="149"/>
      <c r="C58" s="149"/>
      <c r="D58" s="149"/>
      <c r="E58" s="149"/>
      <c r="F58" s="149"/>
      <c r="G58" s="149"/>
      <c r="H58" s="149"/>
      <c r="I58" s="149"/>
      <c r="J58" s="149"/>
      <c r="K58" s="149"/>
    </row>
    <row r="59" spans="1:13">
      <c r="A59" s="149"/>
      <c r="B59" s="149"/>
      <c r="C59" s="149"/>
      <c r="D59" s="149"/>
      <c r="E59" s="149"/>
      <c r="F59" s="149"/>
      <c r="G59" s="149"/>
      <c r="H59" s="149"/>
      <c r="I59" s="149"/>
      <c r="J59" s="149"/>
      <c r="K59" s="149"/>
    </row>
    <row r="60" spans="1:13">
      <c r="A60" s="149"/>
      <c r="B60" s="149"/>
      <c r="C60" s="149"/>
      <c r="D60" s="149"/>
      <c r="E60" s="149"/>
      <c r="F60" s="149"/>
      <c r="G60" s="149"/>
      <c r="H60" s="149"/>
      <c r="I60" s="149"/>
      <c r="J60" s="149"/>
      <c r="K60" s="149"/>
    </row>
    <row r="61" spans="1:13">
      <c r="A61" s="149"/>
      <c r="B61" s="149"/>
      <c r="C61" s="149"/>
      <c r="D61" s="149"/>
      <c r="E61" s="149"/>
      <c r="F61" s="149"/>
      <c r="G61" s="149"/>
      <c r="H61" s="149"/>
      <c r="I61" s="149"/>
      <c r="J61" s="149"/>
      <c r="K61" s="149"/>
    </row>
    <row r="62" spans="1:13">
      <c r="A62" s="149"/>
      <c r="B62" s="149"/>
      <c r="C62" s="149"/>
      <c r="D62" s="149"/>
      <c r="E62" s="149"/>
      <c r="F62" s="149"/>
      <c r="G62" s="149"/>
      <c r="H62" s="149"/>
      <c r="I62" s="149"/>
      <c r="J62" s="149"/>
      <c r="K62" s="149"/>
    </row>
    <row r="63" spans="1:13">
      <c r="A63" s="149"/>
      <c r="B63" s="149"/>
      <c r="C63" s="149"/>
      <c r="D63" s="149"/>
      <c r="E63" s="149"/>
      <c r="F63" s="149"/>
      <c r="G63" s="149"/>
      <c r="H63" s="149"/>
      <c r="I63" s="149"/>
      <c r="J63" s="149"/>
      <c r="K63" s="149"/>
    </row>
    <row r="64" spans="1:13">
      <c r="A64" s="149"/>
      <c r="B64" s="149"/>
      <c r="C64" s="149"/>
      <c r="D64" s="149"/>
      <c r="E64" s="149"/>
      <c r="F64" s="149"/>
      <c r="G64" s="149"/>
      <c r="H64" s="149"/>
      <c r="I64" s="149"/>
      <c r="J64" s="149"/>
      <c r="K64" s="149"/>
    </row>
    <row r="65" spans="1:11">
      <c r="A65" s="149"/>
      <c r="B65" s="149"/>
      <c r="C65" s="149"/>
      <c r="D65" s="149"/>
      <c r="E65" s="149"/>
      <c r="F65" s="149"/>
      <c r="G65" s="149"/>
      <c r="H65" s="149"/>
      <c r="I65" s="149"/>
      <c r="J65" s="149"/>
      <c r="K65" s="149"/>
    </row>
    <row r="66" spans="1:11">
      <c r="A66" s="149"/>
      <c r="B66" s="149"/>
      <c r="C66" s="149"/>
      <c r="D66" s="149"/>
      <c r="E66" s="149"/>
      <c r="F66" s="149"/>
      <c r="G66" s="149"/>
      <c r="H66" s="149"/>
      <c r="I66" s="149"/>
      <c r="J66" s="149"/>
      <c r="K66" s="149"/>
    </row>
    <row r="67" spans="1:11">
      <c r="A67" s="149"/>
      <c r="B67" s="149"/>
      <c r="C67" s="149"/>
      <c r="D67" s="149"/>
      <c r="E67" s="149"/>
      <c r="F67" s="149"/>
      <c r="G67" s="149"/>
      <c r="H67" s="149"/>
      <c r="I67" s="149"/>
      <c r="J67" s="149"/>
      <c r="K67" s="149"/>
    </row>
    <row r="68" spans="1:11">
      <c r="A68" s="149"/>
      <c r="B68" s="149"/>
      <c r="C68" s="149"/>
      <c r="D68" s="149"/>
      <c r="E68" s="149"/>
      <c r="F68" s="149"/>
      <c r="G68" s="149"/>
      <c r="H68" s="149"/>
      <c r="I68" s="149"/>
      <c r="J68" s="149"/>
      <c r="K68" s="149"/>
    </row>
    <row r="69" spans="1:11">
      <c r="A69" s="149"/>
      <c r="B69" s="149"/>
      <c r="C69" s="149"/>
      <c r="D69" s="149"/>
      <c r="E69" s="149"/>
      <c r="F69" s="149"/>
      <c r="G69" s="149"/>
      <c r="H69" s="149"/>
      <c r="I69" s="149"/>
      <c r="J69" s="149"/>
      <c r="K69" s="149"/>
    </row>
    <row r="70" spans="1:11">
      <c r="A70" s="149"/>
      <c r="B70" s="149"/>
      <c r="C70" s="149"/>
      <c r="D70" s="149"/>
      <c r="E70" s="149"/>
      <c r="F70" s="149"/>
      <c r="G70" s="149"/>
      <c r="H70" s="149"/>
      <c r="I70" s="149"/>
      <c r="J70" s="149"/>
      <c r="K70" s="149"/>
    </row>
    <row r="71" spans="1:11">
      <c r="A71" s="149"/>
      <c r="B71" s="149"/>
      <c r="C71" s="149"/>
      <c r="D71" s="149"/>
      <c r="E71" s="149"/>
      <c r="F71" s="149"/>
      <c r="G71" s="149"/>
      <c r="H71" s="149"/>
      <c r="I71" s="149"/>
      <c r="J71" s="149"/>
      <c r="K71" s="149"/>
    </row>
    <row r="72" spans="1:11">
      <c r="A72" s="149"/>
      <c r="B72" s="149"/>
      <c r="C72" s="149"/>
      <c r="D72" s="149"/>
      <c r="E72" s="149"/>
      <c r="F72" s="149"/>
      <c r="G72" s="149"/>
      <c r="H72" s="149"/>
      <c r="I72" s="149"/>
      <c r="J72" s="149"/>
      <c r="K72" s="149"/>
    </row>
    <row r="73" spans="1:11">
      <c r="A73" s="149"/>
      <c r="B73" s="149"/>
      <c r="C73" s="149"/>
      <c r="D73" s="149"/>
      <c r="E73" s="149"/>
      <c r="F73" s="149"/>
      <c r="G73" s="149"/>
      <c r="H73" s="149"/>
      <c r="I73" s="149"/>
      <c r="J73" s="149"/>
      <c r="K73" s="149"/>
    </row>
    <row r="74" spans="1:11">
      <c r="A74" s="149"/>
      <c r="B74" s="149"/>
      <c r="C74" s="149"/>
      <c r="D74" s="149"/>
      <c r="E74" s="149"/>
      <c r="F74" s="149"/>
      <c r="G74" s="149"/>
      <c r="H74" s="149"/>
      <c r="I74" s="149"/>
      <c r="J74" s="149"/>
      <c r="K74" s="149"/>
    </row>
    <row r="75" spans="1:11" ht="14.25" customHeight="1">
      <c r="A75" s="149"/>
      <c r="B75" s="149"/>
      <c r="C75" s="149"/>
      <c r="D75" s="149"/>
      <c r="E75" s="149"/>
      <c r="F75" s="149"/>
      <c r="G75" s="149"/>
      <c r="H75" s="149"/>
      <c r="I75" s="149"/>
      <c r="J75" s="149"/>
      <c r="K75" s="149"/>
    </row>
    <row r="76" spans="1:11" s="80" customFormat="1" ht="15" hidden="1" customHeight="1">
      <c r="A76" s="387" t="s">
        <v>87</v>
      </c>
      <c r="B76" s="387"/>
      <c r="C76" s="387"/>
      <c r="D76" s="387"/>
      <c r="E76" s="387"/>
      <c r="F76" s="387"/>
      <c r="G76" s="387"/>
      <c r="H76" s="387"/>
      <c r="I76" s="387"/>
    </row>
    <row r="77" spans="1:11" s="80" customFormat="1" ht="15" hidden="1" customHeight="1">
      <c r="A77" s="387"/>
      <c r="B77" s="387"/>
      <c r="C77" s="387"/>
      <c r="D77" s="387"/>
      <c r="E77" s="387"/>
      <c r="F77" s="387"/>
      <c r="G77" s="387"/>
      <c r="H77" s="387"/>
      <c r="I77" s="387"/>
    </row>
    <row r="78" spans="1:11" hidden="1">
      <c r="A78" s="149"/>
      <c r="B78" s="149"/>
      <c r="C78" s="149"/>
      <c r="D78" s="149"/>
      <c r="E78" s="149"/>
      <c r="F78" s="149"/>
      <c r="G78" s="149"/>
      <c r="H78" s="149"/>
      <c r="I78" s="149"/>
      <c r="J78" s="149"/>
      <c r="K78" s="149"/>
    </row>
    <row r="79" spans="1:11" hidden="1">
      <c r="A79" s="149"/>
      <c r="B79" s="149"/>
      <c r="C79" s="149"/>
      <c r="D79" s="149"/>
      <c r="E79" s="149"/>
      <c r="F79" s="149"/>
      <c r="G79" s="149"/>
      <c r="H79" s="149"/>
      <c r="I79" s="149"/>
      <c r="J79" s="149"/>
      <c r="K79" s="149"/>
    </row>
    <row r="80" spans="1:11" hidden="1">
      <c r="A80" s="149"/>
      <c r="B80" s="149"/>
      <c r="C80" s="149"/>
      <c r="D80" s="149"/>
      <c r="E80" s="149"/>
      <c r="F80" s="149"/>
      <c r="G80" s="149"/>
      <c r="H80" s="149"/>
      <c r="I80" s="149"/>
      <c r="J80" s="149"/>
      <c r="K80" s="149"/>
    </row>
    <row r="81" spans="1:11" hidden="1">
      <c r="A81" s="149"/>
      <c r="B81" s="149"/>
      <c r="C81" s="149"/>
      <c r="D81" s="149"/>
      <c r="E81" s="149"/>
      <c r="F81" s="149"/>
      <c r="G81" s="149"/>
      <c r="H81" s="149"/>
      <c r="I81" s="149"/>
      <c r="J81" s="149"/>
      <c r="K81" s="149"/>
    </row>
    <row r="82" spans="1:11" hidden="1">
      <c r="A82" s="149"/>
      <c r="B82" s="149"/>
      <c r="C82" s="149"/>
      <c r="D82" s="149"/>
      <c r="E82" s="149"/>
      <c r="F82" s="149"/>
      <c r="G82" s="149"/>
      <c r="H82" s="149"/>
      <c r="I82" s="149"/>
      <c r="J82" s="149"/>
      <c r="K82" s="149"/>
    </row>
    <row r="83" spans="1:11" hidden="1">
      <c r="A83" s="149"/>
      <c r="B83" s="149"/>
      <c r="C83" s="149"/>
      <c r="D83" s="149"/>
      <c r="E83" s="149"/>
      <c r="F83" s="149"/>
      <c r="G83" s="149"/>
      <c r="H83" s="149"/>
      <c r="I83" s="149"/>
      <c r="J83" s="149"/>
      <c r="K83" s="149"/>
    </row>
    <row r="84" spans="1:11" hidden="1">
      <c r="A84" s="149"/>
      <c r="B84" s="149"/>
      <c r="C84" s="149"/>
      <c r="D84" s="149"/>
      <c r="E84" s="149"/>
      <c r="F84" s="149"/>
      <c r="G84" s="149"/>
      <c r="H84" s="149"/>
      <c r="I84" s="149"/>
      <c r="J84" s="149"/>
      <c r="K84" s="149"/>
    </row>
    <row r="85" spans="1:11" hidden="1">
      <c r="A85" s="149"/>
      <c r="B85" s="149"/>
      <c r="C85" s="149"/>
      <c r="D85" s="149"/>
      <c r="E85" s="149"/>
      <c r="F85" s="149"/>
      <c r="G85" s="149"/>
      <c r="H85" s="149"/>
      <c r="I85" s="149"/>
      <c r="J85" s="149"/>
      <c r="K85" s="149"/>
    </row>
    <row r="86" spans="1:11" hidden="1">
      <c r="A86" s="149"/>
      <c r="B86" s="149"/>
      <c r="C86" s="149"/>
      <c r="D86" s="149"/>
      <c r="E86" s="149"/>
      <c r="F86" s="149"/>
      <c r="G86" s="149"/>
      <c r="H86" s="149"/>
      <c r="I86" s="149"/>
      <c r="J86" s="149"/>
      <c r="K86" s="149"/>
    </row>
    <row r="87" spans="1:11" hidden="1">
      <c r="A87" s="149"/>
      <c r="B87" s="149"/>
      <c r="C87" s="149"/>
      <c r="D87" s="149"/>
      <c r="E87" s="149"/>
      <c r="F87" s="149"/>
      <c r="G87" s="149"/>
      <c r="H87" s="149"/>
      <c r="I87" s="149"/>
      <c r="J87" s="149"/>
      <c r="K87" s="149"/>
    </row>
    <row r="88" spans="1:11" hidden="1">
      <c r="A88" s="149"/>
      <c r="B88" s="149"/>
      <c r="C88" s="149"/>
      <c r="D88" s="149"/>
      <c r="E88" s="149"/>
      <c r="F88" s="149"/>
      <c r="G88" s="149"/>
      <c r="H88" s="149"/>
      <c r="I88" s="149"/>
      <c r="J88" s="149"/>
      <c r="K88" s="149"/>
    </row>
    <row r="89" spans="1:11" hidden="1">
      <c r="A89" s="149"/>
      <c r="B89" s="149"/>
      <c r="C89" s="149"/>
      <c r="D89" s="149"/>
      <c r="E89" s="149"/>
      <c r="F89" s="149"/>
      <c r="G89" s="149"/>
      <c r="H89" s="149"/>
      <c r="I89" s="149"/>
      <c r="J89" s="149"/>
      <c r="K89" s="149"/>
    </row>
    <row r="90" spans="1:11" hidden="1">
      <c r="A90" s="149"/>
      <c r="B90" s="149"/>
      <c r="C90" s="149"/>
      <c r="D90" s="149"/>
      <c r="E90" s="149"/>
      <c r="F90" s="149"/>
      <c r="G90" s="149"/>
      <c r="H90" s="149"/>
      <c r="I90" s="149"/>
      <c r="J90" s="149"/>
      <c r="K90" s="149"/>
    </row>
    <row r="91" spans="1:11" hidden="1">
      <c r="A91" s="149"/>
      <c r="B91" s="149"/>
      <c r="C91" s="149"/>
      <c r="D91" s="149"/>
      <c r="E91" s="149"/>
      <c r="F91" s="149"/>
      <c r="G91" s="149"/>
      <c r="H91" s="149"/>
      <c r="I91" s="149"/>
      <c r="J91" s="149"/>
      <c r="K91" s="149"/>
    </row>
    <row r="92" spans="1:11" hidden="1">
      <c r="A92" s="149"/>
      <c r="B92" s="149"/>
      <c r="C92" s="149"/>
      <c r="D92" s="149"/>
      <c r="E92" s="149"/>
      <c r="F92" s="149"/>
      <c r="G92" s="149"/>
      <c r="H92" s="149"/>
      <c r="I92" s="149"/>
      <c r="J92" s="149"/>
      <c r="K92" s="149"/>
    </row>
    <row r="93" spans="1:11" hidden="1">
      <c r="A93" s="149"/>
      <c r="B93" s="149"/>
      <c r="C93" s="149"/>
      <c r="D93" s="149"/>
      <c r="E93" s="149"/>
      <c r="F93" s="149"/>
      <c r="G93" s="149"/>
      <c r="H93" s="149"/>
      <c r="I93" s="149"/>
      <c r="J93" s="149"/>
      <c r="K93" s="149"/>
    </row>
    <row r="94" spans="1:11" hidden="1">
      <c r="A94" s="149"/>
      <c r="B94" s="149"/>
      <c r="C94" s="149"/>
      <c r="D94" s="149"/>
      <c r="E94" s="149"/>
      <c r="F94" s="149"/>
      <c r="G94" s="149"/>
      <c r="H94" s="149"/>
      <c r="I94" s="149"/>
      <c r="J94" s="149"/>
      <c r="K94" s="149"/>
    </row>
    <row r="95" spans="1:11" hidden="1">
      <c r="A95" s="149"/>
      <c r="B95" s="149"/>
      <c r="C95" s="149"/>
      <c r="D95" s="149"/>
      <c r="E95" s="149"/>
      <c r="F95" s="149"/>
      <c r="G95" s="149"/>
      <c r="H95" s="149"/>
      <c r="I95" s="149"/>
      <c r="J95" s="149"/>
      <c r="K95" s="149"/>
    </row>
    <row r="96" spans="1:11" hidden="1">
      <c r="A96" s="149"/>
      <c r="B96" s="149"/>
      <c r="C96" s="149"/>
      <c r="D96" s="149"/>
      <c r="E96" s="149"/>
      <c r="F96" s="149"/>
      <c r="G96" s="149"/>
      <c r="H96" s="149"/>
      <c r="I96" s="149"/>
      <c r="J96" s="149"/>
      <c r="K96" s="149"/>
    </row>
    <row r="97" spans="1:93" s="80" customFormat="1" ht="15" customHeight="1">
      <c r="A97" s="400"/>
      <c r="B97" s="400"/>
      <c r="C97" s="400"/>
      <c r="D97" s="400"/>
      <c r="E97" s="400"/>
      <c r="F97" s="400"/>
      <c r="G97" s="400"/>
      <c r="H97" s="400"/>
      <c r="I97" s="400"/>
    </row>
    <row r="98" spans="1:93" s="80" customFormat="1" ht="15" customHeight="1">
      <c r="A98" s="400"/>
      <c r="B98" s="400"/>
      <c r="C98" s="400"/>
      <c r="D98" s="400"/>
      <c r="E98" s="400"/>
      <c r="F98" s="400"/>
      <c r="G98" s="400"/>
      <c r="H98" s="400"/>
      <c r="I98" s="400"/>
    </row>
    <row r="99" spans="1:93">
      <c r="A99" s="149"/>
      <c r="B99" s="149"/>
      <c r="C99" s="149"/>
      <c r="D99" s="149"/>
      <c r="E99" s="149"/>
      <c r="F99" s="149"/>
      <c r="G99" s="149"/>
      <c r="H99" s="149"/>
      <c r="I99" s="149"/>
      <c r="J99" s="149"/>
      <c r="K99" s="149"/>
    </row>
    <row r="100" spans="1:93">
      <c r="A100" s="149"/>
      <c r="B100" s="149"/>
      <c r="C100" s="149"/>
      <c r="D100" s="149"/>
      <c r="E100" s="149"/>
      <c r="F100" s="149"/>
      <c r="G100" s="149"/>
      <c r="H100" s="149"/>
      <c r="I100" s="149"/>
      <c r="J100" s="149"/>
      <c r="K100" s="149"/>
    </row>
    <row r="101" spans="1:93">
      <c r="A101" s="149"/>
      <c r="B101" s="149"/>
      <c r="C101" s="149"/>
      <c r="D101" s="149"/>
      <c r="E101" s="149"/>
      <c r="F101" s="149"/>
      <c r="G101" s="149"/>
      <c r="H101" s="149"/>
      <c r="I101" s="149"/>
      <c r="J101" s="149"/>
      <c r="K101" s="149"/>
    </row>
    <row r="102" spans="1:93">
      <c r="A102" s="149"/>
      <c r="B102" s="149"/>
      <c r="C102" s="149"/>
      <c r="D102" s="149"/>
      <c r="E102" s="149"/>
      <c r="F102" s="149"/>
      <c r="G102" s="149"/>
      <c r="H102" s="149"/>
      <c r="I102" s="149"/>
      <c r="J102" s="149"/>
      <c r="K102" s="149"/>
    </row>
    <row r="103" spans="1:93">
      <c r="A103" s="149"/>
      <c r="B103" s="149"/>
      <c r="C103" s="149"/>
      <c r="D103" s="149"/>
      <c r="E103" s="149"/>
      <c r="F103" s="149"/>
      <c r="G103" s="149"/>
      <c r="H103" s="149"/>
      <c r="I103" s="149"/>
      <c r="J103" s="149"/>
      <c r="K103" s="149"/>
    </row>
    <row r="104" spans="1:93">
      <c r="A104" s="149"/>
      <c r="B104" s="149"/>
      <c r="C104" s="149"/>
      <c r="D104" s="149"/>
      <c r="E104" s="149"/>
      <c r="F104" s="149"/>
      <c r="G104" s="149"/>
      <c r="H104" s="149"/>
      <c r="I104" s="149"/>
      <c r="J104" s="149"/>
      <c r="K104" s="149"/>
    </row>
    <row r="105" spans="1:93">
      <c r="A105" s="149"/>
      <c r="B105" s="149"/>
      <c r="C105" s="149"/>
      <c r="D105" s="149"/>
      <c r="E105" s="149"/>
      <c r="F105" s="149"/>
      <c r="G105" s="149"/>
      <c r="H105" s="149"/>
      <c r="I105" s="149"/>
      <c r="J105" s="149"/>
      <c r="K105" s="149"/>
      <c r="O105" s="148" t="s">
        <v>107</v>
      </c>
      <c r="P105" s="148" t="s">
        <v>108</v>
      </c>
      <c r="Q105" s="148" t="s">
        <v>109</v>
      </c>
      <c r="R105" s="148" t="s">
        <v>110</v>
      </c>
      <c r="S105" s="148" t="s">
        <v>111</v>
      </c>
      <c r="T105" s="148" t="s">
        <v>112</v>
      </c>
      <c r="U105" s="148" t="s">
        <v>113</v>
      </c>
      <c r="V105" s="148" t="s">
        <v>114</v>
      </c>
      <c r="W105" s="148" t="s">
        <v>115</v>
      </c>
      <c r="X105" s="148" t="s">
        <v>116</v>
      </c>
      <c r="Y105" s="148" t="s">
        <v>117</v>
      </c>
      <c r="Z105" s="148" t="s">
        <v>118</v>
      </c>
      <c r="AA105" s="145" t="s">
        <v>119</v>
      </c>
      <c r="AB105" s="145" t="s">
        <v>120</v>
      </c>
      <c r="AC105" s="145" t="s">
        <v>121</v>
      </c>
      <c r="AD105" s="145" t="s">
        <v>122</v>
      </c>
      <c r="AE105" s="145" t="s">
        <v>123</v>
      </c>
      <c r="AF105" s="145" t="s">
        <v>124</v>
      </c>
      <c r="AG105" s="145" t="s">
        <v>125</v>
      </c>
      <c r="AH105" s="145" t="s">
        <v>126</v>
      </c>
      <c r="AI105" s="145" t="s">
        <v>127</v>
      </c>
      <c r="AJ105" s="145" t="s">
        <v>128</v>
      </c>
      <c r="AK105" s="145" t="s">
        <v>129</v>
      </c>
      <c r="AL105" s="145" t="s">
        <v>130</v>
      </c>
      <c r="AM105" s="148" t="s">
        <v>131</v>
      </c>
      <c r="AN105" s="148" t="s">
        <v>132</v>
      </c>
      <c r="AO105" s="148" t="s">
        <v>133</v>
      </c>
      <c r="AP105" s="148" t="s">
        <v>134</v>
      </c>
      <c r="AQ105" s="148" t="s">
        <v>135</v>
      </c>
      <c r="AR105" s="148" t="s">
        <v>136</v>
      </c>
      <c r="AS105" s="148" t="s">
        <v>137</v>
      </c>
      <c r="AT105" s="148" t="s">
        <v>138</v>
      </c>
      <c r="AU105" s="148" t="s">
        <v>139</v>
      </c>
      <c r="AV105" s="148" t="s">
        <v>140</v>
      </c>
      <c r="AW105" s="148" t="s">
        <v>141</v>
      </c>
      <c r="AX105" s="148" t="s">
        <v>142</v>
      </c>
      <c r="AY105" s="145" t="s">
        <v>150</v>
      </c>
      <c r="AZ105" s="145" t="s">
        <v>151</v>
      </c>
      <c r="BA105" s="145" t="s">
        <v>152</v>
      </c>
      <c r="BB105" s="145" t="s">
        <v>153</v>
      </c>
      <c r="BC105" s="145" t="s">
        <v>154</v>
      </c>
      <c r="BD105" s="145" t="s">
        <v>143</v>
      </c>
      <c r="BE105" s="145" t="s">
        <v>144</v>
      </c>
      <c r="BF105" s="145" t="s">
        <v>145</v>
      </c>
      <c r="BG105" s="145" t="s">
        <v>146</v>
      </c>
      <c r="BH105" s="145" t="s">
        <v>98</v>
      </c>
      <c r="BI105" s="145" t="s">
        <v>99</v>
      </c>
      <c r="BJ105" s="145" t="s">
        <v>100</v>
      </c>
      <c r="BK105" s="148" t="s">
        <v>101</v>
      </c>
      <c r="BL105" s="148" t="s">
        <v>102</v>
      </c>
      <c r="BM105" s="148" t="s">
        <v>103</v>
      </c>
      <c r="BN105" s="148" t="s">
        <v>104</v>
      </c>
      <c r="BO105" s="148" t="s">
        <v>105</v>
      </c>
      <c r="BP105" s="148" t="s">
        <v>106</v>
      </c>
      <c r="BQ105" s="148" t="s">
        <v>178</v>
      </c>
      <c r="BR105" s="148" t="s">
        <v>180</v>
      </c>
      <c r="BS105" s="148" t="s">
        <v>181</v>
      </c>
      <c r="BT105" s="148" t="s">
        <v>183</v>
      </c>
      <c r="BU105" s="148" t="s">
        <v>184</v>
      </c>
      <c r="BV105" s="148" t="s">
        <v>185</v>
      </c>
      <c r="BW105" s="145" t="s">
        <v>195</v>
      </c>
      <c r="BX105" s="145" t="s">
        <v>199</v>
      </c>
      <c r="BY105" s="145" t="s">
        <v>201</v>
      </c>
      <c r="BZ105" s="145" t="s">
        <v>202</v>
      </c>
      <c r="CA105" s="145" t="s">
        <v>204</v>
      </c>
      <c r="CB105" s="145" t="s">
        <v>206</v>
      </c>
      <c r="CC105" s="145" t="s">
        <v>208</v>
      </c>
      <c r="CD105" s="145" t="s">
        <v>209</v>
      </c>
      <c r="CE105" s="145" t="s">
        <v>210</v>
      </c>
      <c r="CF105" s="145" t="s">
        <v>211</v>
      </c>
      <c r="CG105" s="145" t="s">
        <v>213</v>
      </c>
      <c r="CH105" s="145" t="s">
        <v>215</v>
      </c>
      <c r="CI105" s="148" t="s">
        <v>231</v>
      </c>
      <c r="CJ105" s="148" t="s">
        <v>237</v>
      </c>
      <c r="CK105" s="148" t="s">
        <v>238</v>
      </c>
      <c r="CL105" s="148" t="s">
        <v>239</v>
      </c>
      <c r="CM105" s="148" t="s">
        <v>240</v>
      </c>
      <c r="CN105" s="148" t="s">
        <v>243</v>
      </c>
      <c r="CO105" s="148" t="s">
        <v>244</v>
      </c>
    </row>
    <row r="106" spans="1:93">
      <c r="A106" s="149"/>
      <c r="B106" s="149"/>
      <c r="C106" s="149"/>
      <c r="D106" s="149"/>
      <c r="E106" s="149"/>
      <c r="F106" s="149"/>
      <c r="G106" s="149"/>
      <c r="H106" s="149"/>
      <c r="I106" s="149"/>
      <c r="J106" s="149"/>
      <c r="K106" s="149"/>
      <c r="N106" t="s">
        <v>148</v>
      </c>
      <c r="O106" s="146">
        <f>'3'!BV15</f>
        <v>44058.985999999997</v>
      </c>
      <c r="P106" s="146">
        <f>'3'!BW15</f>
        <v>48912.061000000009</v>
      </c>
      <c r="Q106" s="146">
        <f>'3'!BX15</f>
        <v>9452.4579999999987</v>
      </c>
      <c r="R106" s="146">
        <f>'3'!BY15</f>
        <v>41494.661999999982</v>
      </c>
      <c r="S106" s="146">
        <f>'3'!BZ15</f>
        <v>18154.820000000007</v>
      </c>
      <c r="T106" s="146">
        <f>'3'!CA15</f>
        <v>21192.013000000006</v>
      </c>
      <c r="U106" s="146">
        <f>'3'!CB15</f>
        <v>4890.7669999999925</v>
      </c>
      <c r="V106" s="146">
        <f>'3'!CC15</f>
        <v>3387.804999999993</v>
      </c>
      <c r="W106" s="146">
        <f>'3'!CD15</f>
        <v>12491.387000000017</v>
      </c>
      <c r="X106" s="146">
        <f>'3'!CE15</f>
        <v>25239.513000000006</v>
      </c>
      <c r="Y106" s="146">
        <f>'3'!CF15</f>
        <v>13488.517999999982</v>
      </c>
      <c r="Z106" s="146">
        <f>'3'!CG15</f>
        <v>20125.429000000004</v>
      </c>
      <c r="AA106" s="146">
        <f>'3'!CH15</f>
        <v>43448.696000000004</v>
      </c>
      <c r="AB106" s="146">
        <f>'3'!CI15</f>
        <v>51049.976000000002</v>
      </c>
      <c r="AC106" s="146">
        <f>'3'!CJ15</f>
        <v>6380.6459999999934</v>
      </c>
      <c r="AD106" s="146">
        <f>'3'!CK15</f>
        <v>42232.171999999991</v>
      </c>
      <c r="AE106" s="146">
        <f>'3'!CL15</f>
        <v>22529.752999999997</v>
      </c>
      <c r="AF106" s="146">
        <f>'3'!CM15</f>
        <v>19012.722999999998</v>
      </c>
      <c r="AG106" s="146">
        <f>'3'!CN15</f>
        <v>3938.9310000000114</v>
      </c>
      <c r="AH106" s="146">
        <f>'3'!CO15</f>
        <v>3243.1560000000172</v>
      </c>
      <c r="AI106" s="146">
        <f>'3'!CP15</f>
        <v>12452.231999999989</v>
      </c>
      <c r="AJ106" s="146">
        <f>'3'!CQ15</f>
        <v>26665.926000000007</v>
      </c>
      <c r="AK106" s="146">
        <f>'3'!CR15</f>
        <v>17492.218999999983</v>
      </c>
      <c r="AL106" s="146">
        <f>'3'!CS15</f>
        <v>8142.7250000000058</v>
      </c>
      <c r="AM106" s="146">
        <f>'3'!CT15</f>
        <v>3863.1010000000001</v>
      </c>
      <c r="AN106" s="146">
        <f>'3'!CU15</f>
        <v>45889.845000000001</v>
      </c>
      <c r="AO106" s="146">
        <f>'3'!CV15</f>
        <v>7585.2739999999976</v>
      </c>
      <c r="AP106" s="146">
        <f>'3'!CW15</f>
        <v>7220.0970000000016</v>
      </c>
      <c r="AQ106" s="146">
        <f>'3'!CX15</f>
        <v>57937.859999999993</v>
      </c>
      <c r="AR106" s="146">
        <f>'3'!CY15</f>
        <v>4296.8249999999971</v>
      </c>
      <c r="AS106" s="146">
        <f>'3'!CZ15</f>
        <v>4196.8970000000118</v>
      </c>
      <c r="AT106" s="146">
        <f>'3'!DA15</f>
        <v>5290.3090000000084</v>
      </c>
      <c r="AU106" s="146">
        <f>'3'!DB15</f>
        <v>18180.781999999977</v>
      </c>
      <c r="AV106" s="146">
        <f>'3'!DC15</f>
        <v>21406.366000000009</v>
      </c>
      <c r="AW106" s="146">
        <f>'3'!DD15</f>
        <v>13715.277000000002</v>
      </c>
      <c r="AX106" s="146">
        <f>'3'!DE15</f>
        <v>6949.2149999999965</v>
      </c>
      <c r="AY106" s="146">
        <f>'3'!DF15</f>
        <v>4676.8140000000003</v>
      </c>
      <c r="AZ106" s="146">
        <f>'3'!DG15</f>
        <v>48215.86</v>
      </c>
      <c r="BA106" s="146">
        <f>'3'!DH15</f>
        <v>19736.156000000003</v>
      </c>
      <c r="BB106" s="146">
        <f>'3'!DI15</f>
        <v>12163.562000000005</v>
      </c>
      <c r="BC106" s="146">
        <f>'3'!DJ15</f>
        <v>68411.877999999982</v>
      </c>
      <c r="BD106" s="146">
        <f>'3'!DK15</f>
        <v>3473.176999999996</v>
      </c>
      <c r="BE106" s="146">
        <f>'3'!DL15</f>
        <v>3128.9040000000095</v>
      </c>
      <c r="BF106" s="146">
        <f>'3'!DM15</f>
        <v>8276.6000000000058</v>
      </c>
      <c r="BG106" s="146">
        <f>'3'!DN15</f>
        <v>18878.344000000012</v>
      </c>
      <c r="BH106" s="146">
        <f>'3'!DO15</f>
        <v>16582.597999999998</v>
      </c>
      <c r="BI106" s="146">
        <f>'3'!DP15</f>
        <v>22174.156999999977</v>
      </c>
      <c r="BJ106" s="146">
        <f>'3'!DQ15</f>
        <v>3023.6110000000044</v>
      </c>
      <c r="BK106" s="146">
        <f>'3'!DR15</f>
        <v>43141.928</v>
      </c>
      <c r="BL106" s="146">
        <f>'3'!DS15</f>
        <v>51354.168000000005</v>
      </c>
      <c r="BM106" s="146">
        <f>'3'!DT15</f>
        <v>49543.020999999993</v>
      </c>
      <c r="BN106" s="146">
        <f>'3'!DU15</f>
        <v>49204.991999999998</v>
      </c>
      <c r="BO106" s="146">
        <f>'3'!DV15</f>
        <v>52893.782999999996</v>
      </c>
      <c r="BP106" s="146">
        <f>'3'!DW15</f>
        <v>4673.5219999999972</v>
      </c>
      <c r="BQ106" s="146">
        <v>41807.401000000013</v>
      </c>
      <c r="BR106" s="146">
        <v>9476.5470000000205</v>
      </c>
      <c r="BS106" s="146">
        <v>19774.375999999989</v>
      </c>
      <c r="BT106" s="146">
        <v>18209.011999999988</v>
      </c>
      <c r="BU106" s="146">
        <v>20051.940000000002</v>
      </c>
      <c r="BV106" s="146">
        <v>11821.706999999995</v>
      </c>
      <c r="BW106" s="146">
        <v>98576.904999999999</v>
      </c>
      <c r="BX106" s="146">
        <v>48869.095000000001</v>
      </c>
      <c r="BY106" s="146">
        <v>51628.005999999994</v>
      </c>
      <c r="BZ106" s="146">
        <v>4045.1940000000177</v>
      </c>
      <c r="CA106" s="146">
        <v>77775.04800000001</v>
      </c>
      <c r="CB106" s="146">
        <v>4412.036999999953</v>
      </c>
      <c r="CC106" s="146">
        <v>68207.905000000028</v>
      </c>
      <c r="CD106" s="146">
        <v>7875.9369999999763</v>
      </c>
      <c r="CE106" s="146">
        <v>23270.601000000024</v>
      </c>
      <c r="CF106" s="146">
        <v>16734.449000000022</v>
      </c>
      <c r="CG106" s="146">
        <v>11209.114999999991</v>
      </c>
      <c r="CH106" s="146">
        <v>11248.065000000002</v>
      </c>
      <c r="CI106" s="146">
        <v>107398.72500000001</v>
      </c>
      <c r="CJ106" s="146">
        <v>47532.158999999985</v>
      </c>
      <c r="CK106" s="146">
        <v>47802.388000000006</v>
      </c>
      <c r="CL106" s="146">
        <v>2936.7490000000107</v>
      </c>
      <c r="CM106" s="146">
        <v>111034.81</v>
      </c>
      <c r="CN106" s="146">
        <v>12691.980999999971</v>
      </c>
      <c r="CO106" s="146">
        <v>71383.135999999999</v>
      </c>
    </row>
    <row r="107" spans="1:93">
      <c r="A107" s="149"/>
      <c r="B107" s="149"/>
      <c r="C107" s="149"/>
      <c r="D107" s="149"/>
      <c r="E107" s="149"/>
      <c r="F107" s="149"/>
      <c r="G107" s="149"/>
      <c r="H107" s="149"/>
      <c r="I107" s="149"/>
      <c r="J107" s="149"/>
      <c r="K107" s="149"/>
      <c r="T107" t="s">
        <v>147</v>
      </c>
      <c r="AA107" s="145" t="s">
        <v>119</v>
      </c>
      <c r="AB107" s="145" t="s">
        <v>120</v>
      </c>
      <c r="AC107" s="145" t="s">
        <v>121</v>
      </c>
      <c r="AD107" s="145" t="s">
        <v>122</v>
      </c>
      <c r="AE107" s="145" t="s">
        <v>123</v>
      </c>
      <c r="AF107" s="145" t="s">
        <v>124</v>
      </c>
      <c r="AG107" s="145" t="s">
        <v>125</v>
      </c>
      <c r="AH107" s="145" t="s">
        <v>126</v>
      </c>
      <c r="AI107" s="145" t="s">
        <v>127</v>
      </c>
      <c r="AJ107" s="145" t="s">
        <v>128</v>
      </c>
      <c r="AK107" s="145" t="s">
        <v>129</v>
      </c>
      <c r="AL107" s="145" t="s">
        <v>130</v>
      </c>
      <c r="AM107" s="148" t="s">
        <v>131</v>
      </c>
      <c r="AN107" s="148" t="s">
        <v>132</v>
      </c>
      <c r="AO107" s="148" t="s">
        <v>133</v>
      </c>
      <c r="AP107" s="148" t="s">
        <v>134</v>
      </c>
      <c r="AQ107" s="148" t="s">
        <v>135</v>
      </c>
      <c r="AR107" s="148" t="s">
        <v>136</v>
      </c>
      <c r="AS107" s="148" t="s">
        <v>137</v>
      </c>
      <c r="AT107" s="148" t="s">
        <v>138</v>
      </c>
      <c r="AU107" s="148" t="s">
        <v>139</v>
      </c>
      <c r="AV107" s="148" t="s">
        <v>140</v>
      </c>
      <c r="AW107" s="148" t="s">
        <v>141</v>
      </c>
      <c r="AX107" s="148" t="s">
        <v>142</v>
      </c>
      <c r="AY107" s="145" t="s">
        <v>150</v>
      </c>
      <c r="AZ107" s="145" t="s">
        <v>151</v>
      </c>
      <c r="BA107" s="145" t="s">
        <v>152</v>
      </c>
      <c r="BB107" s="145" t="s">
        <v>153</v>
      </c>
      <c r="BC107" s="145" t="s">
        <v>154</v>
      </c>
      <c r="BD107" s="145" t="s">
        <v>143</v>
      </c>
      <c r="BE107" s="145" t="s">
        <v>144</v>
      </c>
      <c r="BF107" s="145" t="s">
        <v>145</v>
      </c>
      <c r="BG107" s="145" t="s">
        <v>146</v>
      </c>
      <c r="BH107" s="145" t="s">
        <v>98</v>
      </c>
      <c r="BI107" s="145" t="s">
        <v>99</v>
      </c>
      <c r="BJ107" s="145" t="s">
        <v>100</v>
      </c>
      <c r="BK107" s="148" t="s">
        <v>101</v>
      </c>
      <c r="BL107" s="148" t="s">
        <v>102</v>
      </c>
      <c r="BM107" s="148" t="s">
        <v>103</v>
      </c>
      <c r="BN107" s="148" t="s">
        <v>104</v>
      </c>
      <c r="BO107" s="148" t="s">
        <v>105</v>
      </c>
      <c r="BP107" s="148" t="s">
        <v>106</v>
      </c>
      <c r="BQ107" s="148" t="s">
        <v>178</v>
      </c>
      <c r="BR107" s="148" t="s">
        <v>180</v>
      </c>
      <c r="BS107" s="148" t="s">
        <v>181</v>
      </c>
      <c r="BT107" s="148" t="s">
        <v>183</v>
      </c>
      <c r="BU107" s="148" t="s">
        <v>184</v>
      </c>
      <c r="BV107" s="148" t="s">
        <v>185</v>
      </c>
      <c r="BW107" s="145" t="s">
        <v>195</v>
      </c>
      <c r="BX107" s="145" t="s">
        <v>199</v>
      </c>
      <c r="BY107" s="145" t="s">
        <v>201</v>
      </c>
      <c r="BZ107" s="145" t="s">
        <v>202</v>
      </c>
      <c r="CA107" s="145" t="s">
        <v>204</v>
      </c>
      <c r="CB107" s="145" t="s">
        <v>206</v>
      </c>
      <c r="CC107" s="145" t="s">
        <v>208</v>
      </c>
      <c r="CD107" s="145" t="s">
        <v>209</v>
      </c>
      <c r="CE107" s="145" t="s">
        <v>210</v>
      </c>
      <c r="CF107" s="145" t="s">
        <v>211</v>
      </c>
      <c r="CG107" s="145" t="s">
        <v>213</v>
      </c>
      <c r="CH107" s="145" t="s">
        <v>215</v>
      </c>
      <c r="CI107" s="148" t="s">
        <v>231</v>
      </c>
      <c r="CJ107" s="148" t="s">
        <v>237</v>
      </c>
      <c r="CK107" s="148" t="s">
        <v>238</v>
      </c>
      <c r="CL107" s="148" t="s">
        <v>239</v>
      </c>
      <c r="CM107" s="148" t="s">
        <v>240</v>
      </c>
      <c r="CN107" s="148" t="s">
        <v>243</v>
      </c>
      <c r="CO107" s="148" t="s">
        <v>244</v>
      </c>
    </row>
    <row r="108" spans="1:93">
      <c r="A108" s="149"/>
      <c r="B108" s="149"/>
      <c r="C108" s="149"/>
      <c r="D108" s="149"/>
      <c r="E108" s="149"/>
      <c r="F108" s="149"/>
      <c r="G108" s="149"/>
      <c r="H108" s="149"/>
      <c r="I108" s="149"/>
      <c r="J108" s="149"/>
      <c r="K108" s="149"/>
      <c r="AA108" s="147">
        <f t="shared" ref="AA108:BV108" si="0">(AA106/O106)*100-100</f>
        <v>-1.3851657866115943</v>
      </c>
      <c r="AB108" s="147">
        <f t="shared" si="0"/>
        <v>4.3709362400410612</v>
      </c>
      <c r="AC108" s="147">
        <f t="shared" si="0"/>
        <v>-32.497494302540204</v>
      </c>
      <c r="AD108" s="147">
        <f t="shared" si="0"/>
        <v>1.7773611458746359</v>
      </c>
      <c r="AE108" s="147">
        <f t="shared" si="0"/>
        <v>24.097914493230931</v>
      </c>
      <c r="AF108" s="147">
        <f t="shared" si="0"/>
        <v>-10.283544088048686</v>
      </c>
      <c r="AG108" s="147">
        <f t="shared" si="0"/>
        <v>-19.461896262896644</v>
      </c>
      <c r="AH108" s="147">
        <f t="shared" si="0"/>
        <v>-4.2696967505501675</v>
      </c>
      <c r="AI108" s="147">
        <f t="shared" si="0"/>
        <v>-0.31345598371123629</v>
      </c>
      <c r="AJ108" s="147">
        <f t="shared" si="0"/>
        <v>5.6515076182333672</v>
      </c>
      <c r="AK108" s="147">
        <f t="shared" si="0"/>
        <v>29.682289781575747</v>
      </c>
      <c r="AL108" s="147">
        <f t="shared" si="0"/>
        <v>-59.540117132409925</v>
      </c>
      <c r="AM108" s="147">
        <f t="shared" si="0"/>
        <v>-91.108821769932973</v>
      </c>
      <c r="AN108" s="147">
        <f t="shared" si="0"/>
        <v>-10.107998875454911</v>
      </c>
      <c r="AO108" s="147">
        <f t="shared" si="0"/>
        <v>18.879405000684969</v>
      </c>
      <c r="AP108" s="147">
        <f t="shared" si="0"/>
        <v>-82.903799027906956</v>
      </c>
      <c r="AQ108" s="147">
        <f t="shared" si="0"/>
        <v>157.16154100757342</v>
      </c>
      <c r="AR108" s="147">
        <f t="shared" si="0"/>
        <v>-77.400265075128914</v>
      </c>
      <c r="AS108" s="147">
        <f t="shared" si="0"/>
        <v>6.5491373166983493</v>
      </c>
      <c r="AT108" s="147">
        <f t="shared" si="0"/>
        <v>63.12224882182602</v>
      </c>
      <c r="AU108" s="147">
        <f t="shared" si="0"/>
        <v>46.004202298832809</v>
      </c>
      <c r="AV108" s="147">
        <f t="shared" si="0"/>
        <v>-19.723897831262249</v>
      </c>
      <c r="AW108" s="147">
        <f t="shared" si="0"/>
        <v>-21.592126190507827</v>
      </c>
      <c r="AX108" s="147">
        <f t="shared" si="0"/>
        <v>-14.657378211839514</v>
      </c>
      <c r="AY108" s="147">
        <f t="shared" si="0"/>
        <v>21.063725747786563</v>
      </c>
      <c r="AZ108" s="147">
        <f t="shared" si="0"/>
        <v>5.0686922128414267</v>
      </c>
      <c r="BA108" s="147">
        <f t="shared" si="0"/>
        <v>160.19041632510584</v>
      </c>
      <c r="BB108" s="147">
        <f t="shared" si="0"/>
        <v>68.468124458715749</v>
      </c>
      <c r="BC108" s="147">
        <f t="shared" si="0"/>
        <v>18.078020140888867</v>
      </c>
      <c r="BD108" s="147">
        <f t="shared" si="0"/>
        <v>-19.168758327369659</v>
      </c>
      <c r="BE108" s="147">
        <f t="shared" si="0"/>
        <v>-25.447205399608308</v>
      </c>
      <c r="BF108" s="147">
        <f t="shared" si="0"/>
        <v>56.448328443574695</v>
      </c>
      <c r="BG108" s="147">
        <f t="shared" si="0"/>
        <v>3.8368096597827019</v>
      </c>
      <c r="BH108" s="147">
        <f t="shared" si="0"/>
        <v>-22.534268544226549</v>
      </c>
      <c r="BI108" s="147">
        <f t="shared" si="0"/>
        <v>61.674875396245909</v>
      </c>
      <c r="BJ108" s="147">
        <f t="shared" si="0"/>
        <v>-56.489891304269534</v>
      </c>
      <c r="BK108" s="147">
        <f t="shared" si="0"/>
        <v>822.46405352019542</v>
      </c>
      <c r="BL108" s="147">
        <f t="shared" si="0"/>
        <v>6.5088707325763835</v>
      </c>
      <c r="BM108" s="147">
        <f t="shared" si="0"/>
        <v>151.02669942414312</v>
      </c>
      <c r="BN108" s="147">
        <f t="shared" si="0"/>
        <v>304.52781841371774</v>
      </c>
      <c r="BO108" s="147">
        <f t="shared" si="0"/>
        <v>-22.683334318055103</v>
      </c>
      <c r="BP108" s="147">
        <f t="shared" si="0"/>
        <v>34.560432710455075</v>
      </c>
      <c r="BQ108" s="147">
        <f t="shared" si="0"/>
        <v>1236.1675845599573</v>
      </c>
      <c r="BR108" s="147">
        <f t="shared" si="0"/>
        <v>14.498066839040362</v>
      </c>
      <c r="BS108" s="147">
        <f t="shared" si="0"/>
        <v>4.7463485144670443</v>
      </c>
      <c r="BT108" s="147">
        <f t="shared" si="0"/>
        <v>9.8079565095890757</v>
      </c>
      <c r="BU108" s="147">
        <f t="shared" si="0"/>
        <v>-9.5706772528036907</v>
      </c>
      <c r="BV108" s="147">
        <f t="shared" si="0"/>
        <v>290.97975897031654</v>
      </c>
      <c r="BW108" s="147">
        <f t="shared" ref="BW108:CO108" si="1">(BW106/BK106)*100-100</f>
        <v>128.49443585367811</v>
      </c>
      <c r="BX108" s="147">
        <f t="shared" si="1"/>
        <v>-4.8390872577275559</v>
      </c>
      <c r="BY108" s="147">
        <f t="shared" si="1"/>
        <v>4.2084333129382685</v>
      </c>
      <c r="BZ108" s="147">
        <f t="shared" si="1"/>
        <v>-91.778895116983222</v>
      </c>
      <c r="CA108" s="147">
        <f t="shared" si="1"/>
        <v>47.040055728288564</v>
      </c>
      <c r="CB108" s="147">
        <f t="shared" si="1"/>
        <v>-5.5950308996094265</v>
      </c>
      <c r="CC108" s="147">
        <f t="shared" si="1"/>
        <v>63.147919670969287</v>
      </c>
      <c r="CD108" s="147">
        <f t="shared" si="1"/>
        <v>-16.890223833639411</v>
      </c>
      <c r="CE108" s="147">
        <f t="shared" si="1"/>
        <v>17.68058319514121</v>
      </c>
      <c r="CF108" s="147">
        <f t="shared" si="1"/>
        <v>-8.097984668250902</v>
      </c>
      <c r="CG108" s="147">
        <f t="shared" si="1"/>
        <v>-44.099598343103018</v>
      </c>
      <c r="CH108" s="147">
        <f t="shared" si="1"/>
        <v>-4.8524464360349384</v>
      </c>
      <c r="CI108" s="147">
        <f t="shared" si="1"/>
        <v>8.9491752657480959</v>
      </c>
      <c r="CJ108" s="147">
        <f t="shared" si="1"/>
        <v>-2.7357494547423471</v>
      </c>
      <c r="CK108" s="147">
        <f t="shared" si="1"/>
        <v>-7.4099665983613363</v>
      </c>
      <c r="CL108" s="147">
        <f t="shared" si="1"/>
        <v>-27.401528826553246</v>
      </c>
      <c r="CM108" s="147">
        <f t="shared" si="1"/>
        <v>42.764052038900672</v>
      </c>
      <c r="CN108" s="147">
        <f t="shared" si="1"/>
        <v>187.66714785030376</v>
      </c>
      <c r="CO108" s="147">
        <f t="shared" si="1"/>
        <v>4.6552243467967003</v>
      </c>
    </row>
    <row r="109" spans="1:93">
      <c r="A109" s="149"/>
      <c r="B109" s="149"/>
      <c r="C109" s="149"/>
      <c r="D109" s="149"/>
      <c r="E109" s="149"/>
      <c r="F109" s="149"/>
      <c r="G109" s="149"/>
      <c r="H109" s="149"/>
      <c r="I109" s="149"/>
      <c r="J109" s="149"/>
      <c r="K109" s="149"/>
      <c r="BQ109" s="110"/>
      <c r="BR109" s="110"/>
      <c r="BS109" s="110"/>
      <c r="BU109" s="146"/>
    </row>
    <row r="110" spans="1:93">
      <c r="A110" s="149"/>
      <c r="B110" s="149"/>
      <c r="C110" s="149"/>
      <c r="D110" s="149"/>
      <c r="E110" s="149"/>
      <c r="F110" s="149"/>
      <c r="G110" s="149"/>
      <c r="H110" s="149"/>
      <c r="I110" s="149"/>
      <c r="J110" s="149"/>
      <c r="K110" s="149"/>
      <c r="BQ110" s="110"/>
      <c r="BR110" s="110"/>
      <c r="BS110" s="110"/>
    </row>
    <row r="111" spans="1:93">
      <c r="A111" s="149"/>
      <c r="B111" s="149"/>
      <c r="C111" s="149"/>
      <c r="D111" s="149"/>
      <c r="E111" s="149"/>
      <c r="F111" s="149"/>
      <c r="G111" s="149"/>
      <c r="H111" s="149"/>
      <c r="I111" s="149"/>
      <c r="J111" s="149"/>
      <c r="K111" s="149"/>
      <c r="BQ111" s="110"/>
      <c r="BR111" s="110"/>
      <c r="BS111" s="110"/>
    </row>
    <row r="112" spans="1:93">
      <c r="A112" s="149"/>
      <c r="B112" s="149"/>
      <c r="C112" s="149"/>
      <c r="D112" s="149"/>
      <c r="E112" s="149"/>
      <c r="F112" s="149"/>
      <c r="G112" s="149"/>
      <c r="H112" s="149"/>
      <c r="I112" s="149"/>
      <c r="J112" s="149"/>
      <c r="K112" s="149"/>
      <c r="BQ112" s="110"/>
      <c r="BR112" s="110"/>
      <c r="BS112" s="110"/>
    </row>
    <row r="113" spans="1:80">
      <c r="A113" s="149"/>
      <c r="B113" s="149"/>
      <c r="C113" s="149"/>
      <c r="D113" s="149"/>
      <c r="E113" s="149"/>
      <c r="F113" s="149"/>
      <c r="G113" s="149"/>
      <c r="H113" s="149"/>
      <c r="I113" s="149"/>
      <c r="J113" s="149"/>
      <c r="K113" s="149"/>
      <c r="BQ113" s="110"/>
      <c r="BR113" s="110"/>
      <c r="BS113" s="110"/>
    </row>
    <row r="114" spans="1:80">
      <c r="A114" s="149"/>
      <c r="B114" s="149"/>
      <c r="C114" s="149"/>
      <c r="D114" s="149"/>
      <c r="E114" s="149"/>
      <c r="F114" s="149"/>
      <c r="G114" s="149"/>
      <c r="H114" s="149"/>
      <c r="I114" s="149"/>
      <c r="J114" s="149"/>
      <c r="K114" s="149"/>
    </row>
    <row r="115" spans="1:80">
      <c r="A115" s="149"/>
      <c r="B115" s="149"/>
      <c r="C115" s="149"/>
      <c r="D115" s="149"/>
      <c r="E115" s="149"/>
      <c r="F115" s="149"/>
      <c r="G115" s="149"/>
      <c r="H115" s="149"/>
      <c r="I115" s="149"/>
      <c r="J115" s="149"/>
      <c r="K115" s="149"/>
      <c r="CA115" t="s">
        <v>207</v>
      </c>
    </row>
    <row r="116" spans="1:80">
      <c r="A116" s="149"/>
      <c r="B116" s="149"/>
      <c r="C116" s="149"/>
      <c r="D116" s="149"/>
      <c r="E116" s="149"/>
      <c r="F116" s="149"/>
      <c r="G116" s="149"/>
      <c r="H116" s="149"/>
      <c r="I116" s="149"/>
      <c r="J116" s="149"/>
      <c r="K116" s="149"/>
    </row>
    <row r="117" spans="1:80">
      <c r="A117" s="149"/>
      <c r="B117" s="149"/>
      <c r="C117" s="149"/>
      <c r="D117" s="149"/>
      <c r="E117" s="149"/>
      <c r="F117" s="149"/>
      <c r="G117" s="149"/>
      <c r="H117" s="149"/>
      <c r="I117" s="149"/>
      <c r="J117" s="149"/>
      <c r="K117" s="149"/>
      <c r="BT117" t="s">
        <v>207</v>
      </c>
    </row>
    <row r="118" spans="1:80">
      <c r="A118" s="149"/>
      <c r="B118" s="149"/>
      <c r="C118" s="149"/>
      <c r="D118" s="149"/>
      <c r="E118" s="149"/>
      <c r="F118" s="149"/>
      <c r="G118" s="149"/>
      <c r="H118" s="149"/>
      <c r="I118" s="149"/>
      <c r="J118" s="149"/>
      <c r="K118" s="149"/>
    </row>
    <row r="119" spans="1:80">
      <c r="A119" s="149"/>
      <c r="B119" s="149"/>
      <c r="C119" s="149"/>
      <c r="D119" s="149"/>
      <c r="E119" s="149"/>
      <c r="F119" s="149"/>
      <c r="G119" s="149"/>
      <c r="H119" s="149"/>
      <c r="I119" s="149"/>
      <c r="J119" s="149"/>
      <c r="K119" s="149"/>
    </row>
    <row r="120" spans="1:80">
      <c r="A120" s="149"/>
      <c r="B120" s="149"/>
      <c r="C120" s="149"/>
      <c r="D120" s="149"/>
      <c r="E120" s="149"/>
      <c r="F120" s="149"/>
      <c r="G120" s="149"/>
      <c r="H120" s="149"/>
      <c r="I120" s="149"/>
      <c r="J120" s="149"/>
      <c r="K120" s="149"/>
    </row>
    <row r="121" spans="1:80">
      <c r="A121" s="149"/>
      <c r="B121" s="149"/>
      <c r="C121" s="149"/>
      <c r="D121" s="149"/>
      <c r="E121" s="149"/>
      <c r="F121" s="149"/>
      <c r="G121" s="149"/>
      <c r="H121" s="149"/>
      <c r="I121" s="149"/>
      <c r="J121" s="149"/>
      <c r="K121" s="149"/>
    </row>
    <row r="122" spans="1:80">
      <c r="A122" s="149"/>
      <c r="B122" s="149"/>
      <c r="C122" s="149"/>
      <c r="D122" s="149"/>
      <c r="E122" s="149"/>
      <c r="F122" s="149"/>
      <c r="G122" s="149"/>
      <c r="H122" s="149"/>
      <c r="I122" s="149"/>
      <c r="J122" s="149"/>
      <c r="K122" s="149"/>
    </row>
    <row r="123" spans="1:80">
      <c r="A123" s="149"/>
      <c r="B123" s="149"/>
      <c r="C123" s="149"/>
      <c r="D123" s="149"/>
      <c r="E123" s="149"/>
      <c r="F123" s="149"/>
      <c r="G123" s="149"/>
      <c r="H123" s="149"/>
      <c r="I123" s="149"/>
      <c r="J123" s="149"/>
      <c r="K123" s="149"/>
    </row>
    <row r="124" spans="1:80">
      <c r="A124" s="149"/>
      <c r="B124" s="149"/>
      <c r="C124" s="149"/>
      <c r="D124" s="149"/>
      <c r="E124" s="149"/>
      <c r="F124" s="149"/>
      <c r="G124" s="149"/>
      <c r="H124" s="149"/>
      <c r="I124" s="149"/>
      <c r="J124" s="149"/>
      <c r="K124" s="149"/>
    </row>
    <row r="125" spans="1:80">
      <c r="A125" s="149"/>
      <c r="B125" s="149"/>
      <c r="C125" s="149"/>
      <c r="D125" s="149"/>
      <c r="E125" s="149"/>
      <c r="F125" s="149"/>
      <c r="G125" s="149"/>
      <c r="H125" s="149"/>
      <c r="I125" s="149"/>
      <c r="J125" s="149"/>
      <c r="K125" s="149"/>
      <c r="CB125" t="s">
        <v>207</v>
      </c>
    </row>
    <row r="126" spans="1:80">
      <c r="A126" s="149"/>
      <c r="B126" s="149"/>
      <c r="C126" s="149"/>
      <c r="D126" s="149"/>
      <c r="E126" s="149"/>
      <c r="F126" s="149"/>
      <c r="G126" s="149"/>
      <c r="H126" s="149"/>
      <c r="I126" s="149"/>
      <c r="J126" s="149"/>
      <c r="K126" s="149"/>
    </row>
    <row r="127" spans="1:80">
      <c r="A127" s="149"/>
      <c r="B127" s="149"/>
      <c r="C127" s="149"/>
      <c r="D127" s="149"/>
      <c r="E127" s="149"/>
      <c r="F127" s="149"/>
      <c r="G127" s="149"/>
      <c r="H127" s="149"/>
      <c r="I127" s="149"/>
      <c r="J127" s="149"/>
      <c r="K127" s="149"/>
    </row>
    <row r="128" spans="1:80">
      <c r="A128" s="149"/>
      <c r="B128" s="149"/>
      <c r="C128" s="149"/>
      <c r="D128" s="149"/>
      <c r="E128" s="149"/>
      <c r="F128" s="149"/>
      <c r="G128" s="149"/>
      <c r="H128" s="149"/>
      <c r="I128" s="149"/>
      <c r="J128" s="149"/>
      <c r="K128" s="149"/>
    </row>
    <row r="129" spans="1:93">
      <c r="A129" s="149"/>
      <c r="B129" s="149"/>
      <c r="C129" s="149"/>
      <c r="D129" s="149"/>
      <c r="E129" s="149"/>
      <c r="F129" s="149"/>
      <c r="G129" s="149"/>
      <c r="H129" s="149"/>
      <c r="I129" s="149"/>
      <c r="J129" s="149"/>
      <c r="K129" s="149"/>
    </row>
    <row r="130" spans="1:93">
      <c r="A130" s="149"/>
      <c r="B130" s="149"/>
      <c r="C130" s="149"/>
      <c r="D130" s="149"/>
      <c r="E130" s="149"/>
      <c r="F130" s="149"/>
      <c r="G130" s="149"/>
      <c r="H130" s="149"/>
      <c r="I130" s="149"/>
      <c r="J130" s="149"/>
      <c r="K130" s="149"/>
      <c r="O130" s="148" t="s">
        <v>107</v>
      </c>
      <c r="P130" s="148" t="s">
        <v>108</v>
      </c>
      <c r="Q130" s="148" t="s">
        <v>109</v>
      </c>
      <c r="R130" s="148" t="s">
        <v>110</v>
      </c>
      <c r="S130" s="148" t="s">
        <v>111</v>
      </c>
      <c r="T130" s="148" t="s">
        <v>112</v>
      </c>
      <c r="U130" s="148" t="s">
        <v>113</v>
      </c>
      <c r="V130" s="148" t="s">
        <v>114</v>
      </c>
      <c r="W130" s="148" t="s">
        <v>115</v>
      </c>
      <c r="X130" s="148" t="s">
        <v>116</v>
      </c>
      <c r="Y130" s="148" t="s">
        <v>117</v>
      </c>
      <c r="Z130" s="148" t="s">
        <v>118</v>
      </c>
      <c r="AA130" s="145" t="s">
        <v>119</v>
      </c>
      <c r="AB130" s="145" t="s">
        <v>120</v>
      </c>
      <c r="AC130" s="145" t="s">
        <v>121</v>
      </c>
      <c r="AD130" s="145" t="s">
        <v>122</v>
      </c>
      <c r="AE130" s="145" t="s">
        <v>123</v>
      </c>
      <c r="AF130" s="145" t="s">
        <v>124</v>
      </c>
      <c r="AG130" s="145" t="s">
        <v>125</v>
      </c>
      <c r="AH130" s="145" t="s">
        <v>126</v>
      </c>
      <c r="AI130" s="145" t="s">
        <v>127</v>
      </c>
      <c r="AJ130" s="145" t="s">
        <v>128</v>
      </c>
      <c r="AK130" s="145" t="s">
        <v>129</v>
      </c>
      <c r="AL130" s="145" t="s">
        <v>130</v>
      </c>
      <c r="AM130" s="148" t="s">
        <v>131</v>
      </c>
      <c r="AN130" s="148" t="s">
        <v>132</v>
      </c>
      <c r="AO130" s="148" t="s">
        <v>133</v>
      </c>
      <c r="AP130" s="148" t="s">
        <v>134</v>
      </c>
      <c r="AQ130" s="148" t="s">
        <v>135</v>
      </c>
      <c r="AR130" s="148" t="s">
        <v>136</v>
      </c>
      <c r="AS130" s="148" t="s">
        <v>137</v>
      </c>
      <c r="AT130" s="148" t="s">
        <v>138</v>
      </c>
      <c r="AU130" s="148" t="s">
        <v>139</v>
      </c>
      <c r="AV130" s="148" t="s">
        <v>140</v>
      </c>
      <c r="AW130" s="148" t="s">
        <v>141</v>
      </c>
      <c r="AX130" s="148" t="s">
        <v>142</v>
      </c>
      <c r="AY130" s="145" t="s">
        <v>150</v>
      </c>
      <c r="AZ130" s="145" t="s">
        <v>151</v>
      </c>
      <c r="BA130" s="145" t="s">
        <v>152</v>
      </c>
      <c r="BB130" s="145" t="s">
        <v>153</v>
      </c>
      <c r="BC130" s="145" t="s">
        <v>154</v>
      </c>
      <c r="BD130" s="145" t="s">
        <v>143</v>
      </c>
      <c r="BE130" s="145" t="s">
        <v>144</v>
      </c>
      <c r="BF130" s="145" t="s">
        <v>145</v>
      </c>
      <c r="BG130" s="145" t="s">
        <v>146</v>
      </c>
      <c r="BH130" s="145" t="s">
        <v>98</v>
      </c>
      <c r="BI130" s="145" t="s">
        <v>99</v>
      </c>
      <c r="BJ130" s="145" t="s">
        <v>100</v>
      </c>
      <c r="BK130" s="148" t="s">
        <v>101</v>
      </c>
      <c r="BL130" s="148" t="s">
        <v>102</v>
      </c>
      <c r="BM130" s="148" t="s">
        <v>103</v>
      </c>
      <c r="BN130" s="148" t="s">
        <v>104</v>
      </c>
      <c r="BO130" s="148" t="s">
        <v>105</v>
      </c>
      <c r="BP130" s="148" t="s">
        <v>106</v>
      </c>
      <c r="BQ130" s="148" t="s">
        <v>178</v>
      </c>
      <c r="BR130" s="148" t="s">
        <v>180</v>
      </c>
      <c r="BS130" s="148" t="s">
        <v>181</v>
      </c>
      <c r="BT130" s="148" t="s">
        <v>183</v>
      </c>
      <c r="BU130" s="148" t="s">
        <v>184</v>
      </c>
      <c r="BV130" s="148" t="s">
        <v>185</v>
      </c>
      <c r="BW130" s="145" t="s">
        <v>195</v>
      </c>
      <c r="BX130" s="145" t="s">
        <v>199</v>
      </c>
      <c r="BY130" s="145" t="s">
        <v>201</v>
      </c>
      <c r="BZ130" s="145" t="s">
        <v>202</v>
      </c>
      <c r="CA130" s="145" t="s">
        <v>204</v>
      </c>
      <c r="CB130" s="145" t="s">
        <v>206</v>
      </c>
      <c r="CC130" s="145" t="s">
        <v>208</v>
      </c>
      <c r="CD130" s="145" t="s">
        <v>209</v>
      </c>
      <c r="CE130" s="145" t="s">
        <v>210</v>
      </c>
      <c r="CF130" s="145" t="s">
        <v>211</v>
      </c>
      <c r="CG130" s="145" t="s">
        <v>213</v>
      </c>
      <c r="CH130" s="145" t="s">
        <v>215</v>
      </c>
      <c r="CI130" s="148" t="s">
        <v>231</v>
      </c>
      <c r="CJ130" s="148" t="s">
        <v>237</v>
      </c>
      <c r="CK130" s="148" t="s">
        <v>238</v>
      </c>
      <c r="CL130" s="148" t="s">
        <v>239</v>
      </c>
      <c r="CM130" s="148" t="s">
        <v>240</v>
      </c>
      <c r="CN130" s="148" t="s">
        <v>243</v>
      </c>
      <c r="CO130" s="148" t="s">
        <v>244</v>
      </c>
    </row>
    <row r="131" spans="1:93">
      <c r="A131" s="149"/>
      <c r="B131" s="149"/>
      <c r="C131" s="149"/>
      <c r="D131" s="149"/>
      <c r="E131" s="149"/>
      <c r="F131" s="149"/>
      <c r="G131" s="149"/>
      <c r="H131" s="149"/>
      <c r="I131" s="149"/>
      <c r="J131" s="149"/>
      <c r="K131" s="149"/>
      <c r="N131" t="s">
        <v>149</v>
      </c>
      <c r="O131" s="146">
        <f>'3'!BV13</f>
        <v>140793.06899999999</v>
      </c>
      <c r="P131" s="146">
        <f>'3'!BW13</f>
        <v>210280.03</v>
      </c>
      <c r="Q131" s="146">
        <f>'3'!BX13</f>
        <v>218342.64900000003</v>
      </c>
      <c r="R131" s="146">
        <f>'3'!BY13</f>
        <v>233035.91399999999</v>
      </c>
      <c r="S131" s="146">
        <f>'3'!BZ13</f>
        <v>212173.90899999999</v>
      </c>
      <c r="T131" s="146">
        <f>'3'!CA13</f>
        <v>281877.429</v>
      </c>
      <c r="U131" s="146">
        <f>'3'!CB13</f>
        <v>235939.57499999995</v>
      </c>
      <c r="V131" s="146">
        <f>'3'!CC13</f>
        <v>187033.79600000009</v>
      </c>
      <c r="W131" s="146">
        <f>'3'!CD13</f>
        <v>197392.47799999989</v>
      </c>
      <c r="X131" s="146">
        <f>'3'!CE13</f>
        <v>219537.1950000003</v>
      </c>
      <c r="Y131" s="146">
        <f>'3'!CF13</f>
        <v>236017.42799999984</v>
      </c>
      <c r="Z131" s="146">
        <f>'3'!CG13</f>
        <v>339639.01399999997</v>
      </c>
      <c r="AA131" s="146">
        <f>'3'!CH13</f>
        <v>140431.39600000001</v>
      </c>
      <c r="AB131" s="146">
        <f>'3'!CI13</f>
        <v>226710.96799999999</v>
      </c>
      <c r="AC131" s="146">
        <f>'3'!CJ13</f>
        <v>240904.16900000005</v>
      </c>
      <c r="AD131" s="146">
        <f>'3'!CK13</f>
        <v>249138.33099999989</v>
      </c>
      <c r="AE131" s="146">
        <f>'3'!CL13</f>
        <v>237328.24600000016</v>
      </c>
      <c r="AF131" s="146">
        <f>'3'!CM13</f>
        <v>337020.277</v>
      </c>
      <c r="AG131" s="146">
        <f>'3'!CN13</f>
        <v>235841.09099999978</v>
      </c>
      <c r="AH131" s="146">
        <f>'3'!CO13</f>
        <v>202391.55300000007</v>
      </c>
      <c r="AI131" s="146">
        <f>'3'!CP13</f>
        <v>211391.83400000003</v>
      </c>
      <c r="AJ131" s="146">
        <f>'3'!CQ13</f>
        <v>233040.90900000022</v>
      </c>
      <c r="AK131" s="146">
        <f>'3'!CR13</f>
        <v>251924.49899999984</v>
      </c>
      <c r="AL131" s="146">
        <f>'3'!CS13</f>
        <v>373516.9580000001</v>
      </c>
      <c r="AM131" s="146">
        <f>'3'!CT13</f>
        <v>148501.04300000001</v>
      </c>
      <c r="AN131" s="146">
        <f>'3'!CU13</f>
        <v>229955.40899999999</v>
      </c>
      <c r="AO131" s="146">
        <f>'3'!CV13</f>
        <v>234722.22099999996</v>
      </c>
      <c r="AP131" s="146">
        <f>'3'!CW13</f>
        <v>251001.06000000006</v>
      </c>
      <c r="AQ131" s="146">
        <f>'3'!CX13</f>
        <v>262239.60899999994</v>
      </c>
      <c r="AR131" s="146">
        <f>'3'!CY13</f>
        <v>329956.05000000005</v>
      </c>
      <c r="AS131" s="146">
        <f>'3'!CZ13</f>
        <v>270339.53000000003</v>
      </c>
      <c r="AT131" s="146">
        <f>'3'!DA13</f>
        <v>214343.59499999997</v>
      </c>
      <c r="AU131" s="146">
        <f>'3'!DB13</f>
        <v>230656.54900000012</v>
      </c>
      <c r="AV131" s="146">
        <f>'3'!DC13</f>
        <v>254962.53299999982</v>
      </c>
      <c r="AW131" s="146">
        <f>'3'!DD13</f>
        <v>274171.86599999992</v>
      </c>
      <c r="AX131" s="146">
        <f>'3'!DE13</f>
        <v>419321.52400000021</v>
      </c>
      <c r="AY131" s="146">
        <f>'3'!DF13</f>
        <v>162519.83900000001</v>
      </c>
      <c r="AZ131" s="146">
        <f>'3'!DG13</f>
        <v>268167.88399999996</v>
      </c>
      <c r="BA131" s="146">
        <f>'3'!DH13</f>
        <v>280874.82999999996</v>
      </c>
      <c r="BB131" s="146">
        <f>'3'!DI13</f>
        <v>280440.52600000007</v>
      </c>
      <c r="BC131" s="146">
        <f>'3'!DJ13</f>
        <v>290130.30200000003</v>
      </c>
      <c r="BD131" s="146">
        <f>'3'!DK13</f>
        <v>393562.53499999992</v>
      </c>
      <c r="BE131" s="146">
        <f>'3'!DL13</f>
        <v>301259.39899999998</v>
      </c>
      <c r="BF131" s="146">
        <f>'3'!DM13</f>
        <v>257755.70200000005</v>
      </c>
      <c r="BG131" s="146">
        <f>'3'!DN13</f>
        <v>265406.22500000009</v>
      </c>
      <c r="BH131" s="146">
        <f>'3'!DO13</f>
        <v>301408.95200000005</v>
      </c>
      <c r="BI131" s="146">
        <f>'3'!DP13</f>
        <v>321440.65899999999</v>
      </c>
      <c r="BJ131" s="146">
        <f>'3'!DQ13</f>
        <v>478462.86100000003</v>
      </c>
      <c r="BK131" s="146">
        <f>'3'!DR13</f>
        <v>223838.76</v>
      </c>
      <c r="BL131" s="146">
        <f>'3'!DS13</f>
        <v>323655.63</v>
      </c>
      <c r="BM131" s="146">
        <f>'3'!DT13</f>
        <v>326712.97699999996</v>
      </c>
      <c r="BN131" s="146">
        <f>'3'!DU13</f>
        <v>325691.16600000008</v>
      </c>
      <c r="BO131" s="146">
        <f>'3'!DV13</f>
        <v>348178.33400000003</v>
      </c>
      <c r="BP131" s="146">
        <f>'3'!DW13</f>
        <v>426185.62699999986</v>
      </c>
      <c r="BQ131" s="146">
        <v>354724.17500000028</v>
      </c>
      <c r="BR131" s="146">
        <v>293324.55599999987</v>
      </c>
      <c r="BS131" s="146">
        <v>285460.77</v>
      </c>
      <c r="BT131" s="146">
        <v>332082.15999999968</v>
      </c>
      <c r="BU131" s="146">
        <v>350875.09300000034</v>
      </c>
      <c r="BV131" s="146">
        <v>493138.72599999979</v>
      </c>
      <c r="BW131" s="146">
        <v>227203</v>
      </c>
      <c r="BX131" s="146">
        <v>338190.06299999997</v>
      </c>
      <c r="BY131" s="146">
        <v>337732.41100000008</v>
      </c>
      <c r="BZ131" s="146">
        <v>382157.49400000006</v>
      </c>
      <c r="CA131" s="146">
        <v>345727.85399999982</v>
      </c>
      <c r="CB131" s="146">
        <v>445687.23200000008</v>
      </c>
      <c r="CC131" s="146">
        <v>388153.65199999977</v>
      </c>
      <c r="CD131" s="146">
        <v>319729.79500000039</v>
      </c>
      <c r="CE131" s="146">
        <v>309237.16299999971</v>
      </c>
      <c r="CF131" s="146">
        <v>363546.8330000001</v>
      </c>
      <c r="CG131" s="146">
        <v>358552.77799999993</v>
      </c>
      <c r="CH131" s="146">
        <v>530346.19499999983</v>
      </c>
      <c r="CI131" s="146">
        <v>233264.603</v>
      </c>
      <c r="CJ131" s="146">
        <v>347519.951</v>
      </c>
      <c r="CK131" s="146">
        <v>352624.99300000002</v>
      </c>
      <c r="CL131" s="146">
        <v>379365.5689999999</v>
      </c>
      <c r="CM131" s="146">
        <v>367403.99600000004</v>
      </c>
      <c r="CN131" s="146">
        <v>461050.71600000025</v>
      </c>
      <c r="CO131" s="146">
        <v>402597.28899999987</v>
      </c>
    </row>
    <row r="132" spans="1:93">
      <c r="A132" s="149"/>
      <c r="B132" s="149"/>
      <c r="C132" s="149"/>
      <c r="D132" s="149"/>
      <c r="E132" s="149"/>
      <c r="F132" s="149"/>
      <c r="G132" s="149"/>
      <c r="H132" s="149"/>
      <c r="I132" s="149"/>
      <c r="J132" s="149"/>
      <c r="K132" s="149"/>
      <c r="T132" t="s">
        <v>147</v>
      </c>
      <c r="AA132" s="145" t="s">
        <v>119</v>
      </c>
      <c r="AB132" s="145" t="s">
        <v>120</v>
      </c>
      <c r="AC132" s="145" t="s">
        <v>121</v>
      </c>
      <c r="AD132" s="145" t="s">
        <v>122</v>
      </c>
      <c r="AE132" s="145" t="s">
        <v>123</v>
      </c>
      <c r="AF132" s="145" t="s">
        <v>124</v>
      </c>
      <c r="AG132" s="145" t="s">
        <v>125</v>
      </c>
      <c r="AH132" s="145" t="s">
        <v>126</v>
      </c>
      <c r="AI132" s="145" t="s">
        <v>127</v>
      </c>
      <c r="AJ132" s="145" t="s">
        <v>128</v>
      </c>
      <c r="AK132" s="145" t="s">
        <v>129</v>
      </c>
      <c r="AL132" s="145" t="s">
        <v>130</v>
      </c>
      <c r="AM132" s="148" t="s">
        <v>131</v>
      </c>
      <c r="AN132" s="148" t="s">
        <v>132</v>
      </c>
      <c r="AO132" s="148" t="s">
        <v>133</v>
      </c>
      <c r="AP132" s="148" t="s">
        <v>134</v>
      </c>
      <c r="AQ132" s="148" t="s">
        <v>135</v>
      </c>
      <c r="AR132" s="148" t="s">
        <v>136</v>
      </c>
      <c r="AS132" s="148" t="s">
        <v>137</v>
      </c>
      <c r="AT132" s="148" t="s">
        <v>138</v>
      </c>
      <c r="AU132" s="148" t="s">
        <v>139</v>
      </c>
      <c r="AV132" s="148" t="s">
        <v>140</v>
      </c>
      <c r="AW132" s="148" t="s">
        <v>141</v>
      </c>
      <c r="AX132" s="148" t="s">
        <v>142</v>
      </c>
      <c r="AY132" s="145" t="s">
        <v>150</v>
      </c>
      <c r="AZ132" s="145" t="s">
        <v>151</v>
      </c>
      <c r="BA132" s="145" t="s">
        <v>152</v>
      </c>
      <c r="BB132" s="145" t="s">
        <v>153</v>
      </c>
      <c r="BC132" s="145" t="s">
        <v>154</v>
      </c>
      <c r="BD132" s="145" t="s">
        <v>143</v>
      </c>
      <c r="BE132" s="145" t="s">
        <v>144</v>
      </c>
      <c r="BF132" s="145" t="s">
        <v>145</v>
      </c>
      <c r="BG132" s="145" t="s">
        <v>146</v>
      </c>
      <c r="BH132" s="145" t="s">
        <v>98</v>
      </c>
      <c r="BI132" s="145" t="s">
        <v>99</v>
      </c>
      <c r="BJ132" s="145" t="s">
        <v>100</v>
      </c>
      <c r="BK132" s="148" t="s">
        <v>101</v>
      </c>
      <c r="BL132" s="148" t="s">
        <v>102</v>
      </c>
      <c r="BM132" s="148" t="s">
        <v>103</v>
      </c>
      <c r="BN132" s="148" t="s">
        <v>104</v>
      </c>
      <c r="BO132" s="148" t="s">
        <v>105</v>
      </c>
      <c r="BP132" s="148" t="s">
        <v>106</v>
      </c>
      <c r="BQ132" s="148" t="s">
        <v>178</v>
      </c>
      <c r="BR132" s="148" t="s">
        <v>180</v>
      </c>
      <c r="BS132" s="148" t="s">
        <v>181</v>
      </c>
      <c r="BT132" s="148" t="s">
        <v>183</v>
      </c>
      <c r="BU132" s="148" t="s">
        <v>184</v>
      </c>
      <c r="BV132" s="148" t="s">
        <v>185</v>
      </c>
      <c r="BW132" s="145" t="s">
        <v>195</v>
      </c>
      <c r="BX132" s="145" t="s">
        <v>199</v>
      </c>
      <c r="BY132" s="145" t="s">
        <v>201</v>
      </c>
      <c r="BZ132" s="145" t="s">
        <v>202</v>
      </c>
      <c r="CA132" s="145" t="s">
        <v>204</v>
      </c>
      <c r="CB132" s="145" t="s">
        <v>206</v>
      </c>
      <c r="CC132" s="145" t="s">
        <v>208</v>
      </c>
      <c r="CD132" s="145" t="s">
        <v>209</v>
      </c>
      <c r="CE132" s="145" t="s">
        <v>210</v>
      </c>
      <c r="CF132" s="145" t="s">
        <v>211</v>
      </c>
      <c r="CG132" s="145" t="s">
        <v>213</v>
      </c>
      <c r="CH132" s="145" t="s">
        <v>215</v>
      </c>
      <c r="CI132" s="148" t="s">
        <v>231</v>
      </c>
      <c r="CJ132" s="148" t="s">
        <v>237</v>
      </c>
      <c r="CK132" s="148" t="s">
        <v>238</v>
      </c>
      <c r="CL132" s="148" t="s">
        <v>239</v>
      </c>
      <c r="CM132" s="148" t="s">
        <v>240</v>
      </c>
      <c r="CN132" s="148" t="s">
        <v>243</v>
      </c>
      <c r="CO132" s="148" t="s">
        <v>244</v>
      </c>
    </row>
    <row r="133" spans="1:93">
      <c r="A133" s="149"/>
      <c r="B133" s="149"/>
      <c r="C133" s="149"/>
      <c r="D133" s="149"/>
      <c r="E133" s="149"/>
      <c r="F133" s="149"/>
      <c r="G133" s="149"/>
      <c r="H133" s="149"/>
      <c r="I133" s="149"/>
      <c r="J133" s="149"/>
      <c r="K133" s="149"/>
      <c r="AA133" s="147">
        <f t="shared" ref="AA133:CO133" si="2">(AA131/O131)*100-100</f>
        <v>-0.25688267367762307</v>
      </c>
      <c r="AB133" s="147">
        <f t="shared" si="2"/>
        <v>7.8138366253799774</v>
      </c>
      <c r="AC133" s="147">
        <f t="shared" si="2"/>
        <v>10.333079727360101</v>
      </c>
      <c r="AD133" s="147">
        <f t="shared" si="2"/>
        <v>6.9098435187976577</v>
      </c>
      <c r="AE133" s="147">
        <f t="shared" si="2"/>
        <v>11.855527910361573</v>
      </c>
      <c r="AF133" s="147">
        <f t="shared" si="2"/>
        <v>19.562704327064083</v>
      </c>
      <c r="AG133" s="147">
        <f t="shared" si="2"/>
        <v>-4.174119581260527E-2</v>
      </c>
      <c r="AH133" s="147">
        <f t="shared" si="2"/>
        <v>8.2112202866266841</v>
      </c>
      <c r="AI133" s="147">
        <f t="shared" si="2"/>
        <v>7.0921425891417016</v>
      </c>
      <c r="AJ133" s="147">
        <f t="shared" si="2"/>
        <v>6.1509914071735636</v>
      </c>
      <c r="AK133" s="147">
        <f t="shared" si="2"/>
        <v>6.7397866059281171</v>
      </c>
      <c r="AL133" s="147">
        <f t="shared" si="2"/>
        <v>9.9746915411785153</v>
      </c>
      <c r="AM133" s="147">
        <f t="shared" si="2"/>
        <v>5.7463268399040857</v>
      </c>
      <c r="AN133" s="147">
        <f t="shared" si="2"/>
        <v>1.4310913268210186</v>
      </c>
      <c r="AO133" s="147">
        <f t="shared" si="2"/>
        <v>-2.566144050417023</v>
      </c>
      <c r="AP133" s="147">
        <f t="shared" si="2"/>
        <v>0.74766857132080133</v>
      </c>
      <c r="AQ133" s="147">
        <f t="shared" si="2"/>
        <v>10.496585813051411</v>
      </c>
      <c r="AR133" s="147">
        <f t="shared" si="2"/>
        <v>-2.0960836727340109</v>
      </c>
      <c r="AS133" s="147">
        <f t="shared" si="2"/>
        <v>14.627832178744569</v>
      </c>
      <c r="AT133" s="147">
        <f t="shared" si="2"/>
        <v>5.9054055482245786</v>
      </c>
      <c r="AU133" s="147">
        <f t="shared" si="2"/>
        <v>9.1132730321077986</v>
      </c>
      <c r="AV133" s="147">
        <f t="shared" si="2"/>
        <v>9.4067707228174129</v>
      </c>
      <c r="AW133" s="147">
        <f t="shared" si="2"/>
        <v>8.8309660586047585</v>
      </c>
      <c r="AX133" s="147">
        <f t="shared" si="2"/>
        <v>12.263048576230929</v>
      </c>
      <c r="AY133" s="147">
        <f t="shared" si="2"/>
        <v>9.4402003627678255</v>
      </c>
      <c r="AZ133" s="147">
        <f t="shared" si="2"/>
        <v>16.617341234186839</v>
      </c>
      <c r="BA133" s="147">
        <f t="shared" si="2"/>
        <v>19.662650090551082</v>
      </c>
      <c r="BB133" s="147">
        <f t="shared" si="2"/>
        <v>11.7288213842603</v>
      </c>
      <c r="BC133" s="147">
        <f t="shared" si="2"/>
        <v>10.635576031536914</v>
      </c>
      <c r="BD133" s="147">
        <f t="shared" si="2"/>
        <v>19.277259804752745</v>
      </c>
      <c r="BE133" s="147">
        <f t="shared" si="2"/>
        <v>11.437420565168523</v>
      </c>
      <c r="BF133" s="147">
        <f t="shared" si="2"/>
        <v>20.253512590380907</v>
      </c>
      <c r="BG133" s="147">
        <f t="shared" si="2"/>
        <v>15.065549255226202</v>
      </c>
      <c r="BH133" s="147">
        <f t="shared" si="2"/>
        <v>18.216958567790925</v>
      </c>
      <c r="BI133" s="147">
        <f t="shared" si="2"/>
        <v>17.240570190378349</v>
      </c>
      <c r="BJ133" s="147">
        <f t="shared" si="2"/>
        <v>14.104054672852854</v>
      </c>
      <c r="BK133" s="147">
        <f t="shared" si="2"/>
        <v>37.730114290846672</v>
      </c>
      <c r="BL133" s="147">
        <f t="shared" si="2"/>
        <v>20.691421050255229</v>
      </c>
      <c r="BM133" s="147">
        <f t="shared" si="2"/>
        <v>16.319777389807413</v>
      </c>
      <c r="BN133" s="147">
        <f t="shared" si="2"/>
        <v>16.135556670579064</v>
      </c>
      <c r="BO133" s="147">
        <f t="shared" si="2"/>
        <v>20.007573011108647</v>
      </c>
      <c r="BP133" s="147">
        <f t="shared" si="2"/>
        <v>8.2891762042339536</v>
      </c>
      <c r="BQ133" s="147">
        <f t="shared" si="2"/>
        <v>17.747089776276255</v>
      </c>
      <c r="BR133" s="147">
        <f t="shared" si="2"/>
        <v>13.799444095323963</v>
      </c>
      <c r="BS133" s="147">
        <f t="shared" si="2"/>
        <v>7.5561697921742166</v>
      </c>
      <c r="BT133" s="147">
        <f t="shared" si="2"/>
        <v>10.176608158605589</v>
      </c>
      <c r="BU133" s="147">
        <f t="shared" si="2"/>
        <v>9.1570351092393594</v>
      </c>
      <c r="BV133" s="147">
        <f t="shared" si="2"/>
        <v>3.0672944958208177</v>
      </c>
      <c r="BW133" s="147">
        <f t="shared" si="2"/>
        <v>1.5029747305605099</v>
      </c>
      <c r="BX133" s="147">
        <f t="shared" si="2"/>
        <v>4.4907091528115757</v>
      </c>
      <c r="BY133" s="147">
        <f t="shared" si="2"/>
        <v>3.3728179704352925</v>
      </c>
      <c r="BZ133" s="147">
        <f t="shared" si="2"/>
        <v>17.337383968222198</v>
      </c>
      <c r="CA133" s="147">
        <f t="shared" si="2"/>
        <v>-0.70380025426861437</v>
      </c>
      <c r="CB133" s="147">
        <f t="shared" si="2"/>
        <v>4.575847650535664</v>
      </c>
      <c r="CC133" s="147">
        <f t="shared" si="2"/>
        <v>9.4240763263455278</v>
      </c>
      <c r="CD133" s="147">
        <f t="shared" si="2"/>
        <v>9.0020553887757444</v>
      </c>
      <c r="CE133" s="147">
        <f t="shared" si="2"/>
        <v>8.3291280269438346</v>
      </c>
      <c r="CF133" s="147">
        <f t="shared" si="2"/>
        <v>9.4749663757909985</v>
      </c>
      <c r="CG133" s="147">
        <f t="shared" si="2"/>
        <v>2.1881533209880928</v>
      </c>
      <c r="CH133" s="147">
        <f t="shared" si="2"/>
        <v>7.5450308479727966</v>
      </c>
      <c r="CI133" s="147">
        <f t="shared" si="2"/>
        <v>2.6679238390338185</v>
      </c>
      <c r="CJ133" s="147">
        <f t="shared" si="2"/>
        <v>2.7587705910803351</v>
      </c>
      <c r="CK133" s="147">
        <f t="shared" si="2"/>
        <v>4.4095803408100949</v>
      </c>
      <c r="CL133" s="147">
        <f t="shared" si="2"/>
        <v>-0.73056921395871655</v>
      </c>
      <c r="CM133" s="147">
        <f t="shared" si="2"/>
        <v>6.2697123616774633</v>
      </c>
      <c r="CN133" s="147">
        <f t="shared" si="2"/>
        <v>3.4471447456677851</v>
      </c>
      <c r="CO133" s="147">
        <f t="shared" si="2"/>
        <v>3.7211132564585796</v>
      </c>
    </row>
    <row r="134" spans="1:93">
      <c r="A134" s="149"/>
      <c r="B134" s="149"/>
      <c r="C134" s="149"/>
      <c r="D134" s="149"/>
      <c r="E134" s="149"/>
      <c r="F134" s="149"/>
      <c r="G134" s="149"/>
      <c r="H134" s="149"/>
      <c r="I134" s="149"/>
      <c r="J134" s="149"/>
      <c r="K134" s="149"/>
    </row>
    <row r="135" spans="1:93">
      <c r="A135" s="149"/>
      <c r="B135" s="149"/>
      <c r="C135" s="149"/>
      <c r="D135" s="149"/>
      <c r="E135" s="149"/>
      <c r="F135" s="149"/>
      <c r="G135" s="149"/>
      <c r="H135" s="149"/>
      <c r="I135" s="149"/>
      <c r="J135" s="149"/>
      <c r="K135" s="149"/>
    </row>
    <row r="136" spans="1:93">
      <c r="A136" s="149"/>
      <c r="B136" s="149"/>
      <c r="C136" s="149"/>
      <c r="D136" s="149"/>
      <c r="E136" s="149"/>
      <c r="F136" s="149"/>
      <c r="G136" s="149"/>
      <c r="H136" s="149"/>
      <c r="I136" s="149"/>
      <c r="J136" s="149"/>
      <c r="K136" s="149"/>
    </row>
    <row r="137" spans="1:93">
      <c r="A137" s="149"/>
      <c r="B137" s="149"/>
      <c r="C137" s="149"/>
      <c r="D137" s="149"/>
      <c r="E137" s="149"/>
      <c r="F137" s="149"/>
      <c r="G137" s="149"/>
      <c r="H137" s="149"/>
      <c r="I137" s="149"/>
      <c r="J137" s="149"/>
      <c r="K137" s="149"/>
      <c r="BU137" t="s">
        <v>207</v>
      </c>
      <c r="CB137" t="s">
        <v>207</v>
      </c>
    </row>
    <row r="138" spans="1:93">
      <c r="A138" s="149"/>
      <c r="B138" s="149"/>
      <c r="C138" s="149"/>
      <c r="D138" s="149"/>
      <c r="E138" s="149"/>
      <c r="F138" s="149"/>
      <c r="G138" s="149"/>
      <c r="H138" s="149"/>
      <c r="I138" s="149"/>
      <c r="J138" s="149"/>
      <c r="K138" s="149"/>
      <c r="CD138" t="s">
        <v>207</v>
      </c>
    </row>
    <row r="139" spans="1:93">
      <c r="A139" s="149"/>
      <c r="B139" s="149"/>
      <c r="C139" s="149"/>
      <c r="D139" s="149"/>
      <c r="E139" s="149"/>
      <c r="F139" s="149"/>
      <c r="G139" s="149"/>
      <c r="H139" s="149"/>
      <c r="I139" s="149"/>
      <c r="J139" s="149"/>
      <c r="K139" s="149"/>
    </row>
    <row r="140" spans="1:93">
      <c r="A140" s="149"/>
      <c r="B140" s="149"/>
      <c r="C140" s="149"/>
      <c r="D140" s="149"/>
      <c r="E140" s="149"/>
      <c r="F140" s="149"/>
      <c r="G140" s="149"/>
      <c r="H140" s="149"/>
      <c r="I140" s="149"/>
      <c r="J140" s="149"/>
      <c r="K140" s="149"/>
    </row>
    <row r="141" spans="1:93">
      <c r="A141" s="149"/>
      <c r="B141" s="149"/>
      <c r="C141" s="149"/>
      <c r="D141" s="149"/>
      <c r="E141" s="149"/>
      <c r="F141" s="149"/>
      <c r="G141" s="149"/>
      <c r="H141" s="149"/>
      <c r="I141" s="149"/>
      <c r="J141" s="149"/>
      <c r="K141" s="149"/>
      <c r="CJ141" t="s">
        <v>207</v>
      </c>
    </row>
    <row r="142" spans="1:93">
      <c r="A142" s="149"/>
      <c r="B142" s="149"/>
      <c r="C142" s="149"/>
      <c r="D142" s="149"/>
      <c r="E142" s="149"/>
      <c r="F142" s="149"/>
      <c r="G142" s="149"/>
      <c r="H142" s="149"/>
      <c r="I142" s="149"/>
      <c r="J142" s="149"/>
      <c r="K142" s="149"/>
    </row>
    <row r="143" spans="1:93">
      <c r="A143" s="149"/>
      <c r="B143" s="149"/>
      <c r="C143" s="149"/>
      <c r="D143" s="149"/>
      <c r="E143" s="149"/>
      <c r="F143" s="149"/>
      <c r="G143" s="149"/>
      <c r="H143" s="149"/>
      <c r="I143" s="149"/>
      <c r="J143" s="149"/>
      <c r="K143" s="149"/>
    </row>
    <row r="144" spans="1:93">
      <c r="A144" s="149"/>
      <c r="B144" s="149"/>
      <c r="C144" s="149"/>
      <c r="D144" s="149"/>
      <c r="E144" s="149"/>
      <c r="F144" s="149"/>
      <c r="G144" s="149"/>
      <c r="H144" s="149"/>
      <c r="I144" s="149"/>
      <c r="J144" s="149"/>
      <c r="K144" s="149"/>
    </row>
    <row r="145" spans="1:11">
      <c r="A145" s="149"/>
      <c r="B145" s="149"/>
      <c r="C145" s="149"/>
      <c r="D145" s="149"/>
      <c r="E145" s="149"/>
      <c r="F145" s="149"/>
      <c r="G145" s="149"/>
      <c r="H145" s="149"/>
      <c r="I145" s="149"/>
      <c r="J145" s="149"/>
      <c r="K145" s="149"/>
    </row>
    <row r="146" spans="1:11">
      <c r="A146" s="149"/>
      <c r="B146" s="149"/>
      <c r="C146" s="149"/>
      <c r="D146" s="149"/>
      <c r="E146" s="149"/>
      <c r="F146" s="149"/>
      <c r="G146" s="149"/>
      <c r="H146" s="149"/>
      <c r="I146" s="149"/>
      <c r="J146" s="149"/>
      <c r="K146" s="149"/>
    </row>
    <row r="147" spans="1:11">
      <c r="A147" s="149"/>
      <c r="B147" s="149"/>
      <c r="C147" s="149"/>
      <c r="D147" s="149"/>
      <c r="E147" s="149"/>
      <c r="F147" s="149"/>
      <c r="G147" s="149"/>
      <c r="H147" s="149"/>
      <c r="I147" s="149"/>
      <c r="J147" s="149"/>
      <c r="K147" s="149"/>
    </row>
    <row r="148" spans="1:11">
      <c r="A148" s="149"/>
      <c r="B148" s="149"/>
      <c r="C148" s="149"/>
      <c r="D148" s="149"/>
      <c r="E148" s="149"/>
      <c r="F148" s="149"/>
      <c r="G148" s="149"/>
      <c r="H148" s="149"/>
      <c r="I148" s="149"/>
      <c r="J148" s="149"/>
      <c r="K148" s="149"/>
    </row>
    <row r="149" spans="1:11">
      <c r="A149" s="149"/>
      <c r="B149" s="149"/>
      <c r="C149" s="149"/>
      <c r="D149" s="149"/>
      <c r="E149" s="149"/>
      <c r="F149" s="149"/>
      <c r="G149" s="149"/>
      <c r="H149" s="149"/>
      <c r="I149" s="149"/>
      <c r="J149" s="149"/>
      <c r="K149" s="149"/>
    </row>
    <row r="150" spans="1:11">
      <c r="A150" s="149"/>
      <c r="B150" s="149"/>
      <c r="C150" s="149"/>
      <c r="D150" s="149"/>
      <c r="E150" s="149"/>
      <c r="F150" s="149"/>
      <c r="G150" s="149"/>
      <c r="H150" s="149"/>
      <c r="I150" s="149"/>
      <c r="J150" s="149"/>
      <c r="K150" s="149"/>
    </row>
    <row r="151" spans="1:11">
      <c r="A151" s="149"/>
      <c r="B151" s="149"/>
      <c r="C151" s="149"/>
      <c r="D151" s="149"/>
      <c r="E151" s="149"/>
      <c r="F151" s="149"/>
      <c r="G151" s="149"/>
      <c r="H151" s="149"/>
      <c r="I151" s="149"/>
      <c r="J151" s="149"/>
      <c r="K151" s="149"/>
    </row>
    <row r="152" spans="1:11">
      <c r="A152" s="149"/>
      <c r="B152" s="149"/>
      <c r="C152" s="149"/>
      <c r="D152" s="149"/>
      <c r="E152" s="149"/>
      <c r="F152" s="149"/>
      <c r="G152" s="149"/>
      <c r="H152" s="149"/>
      <c r="I152" s="149"/>
      <c r="J152" s="149"/>
      <c r="K152" s="149"/>
    </row>
    <row r="153" spans="1:11">
      <c r="A153" s="149"/>
      <c r="B153" s="149"/>
      <c r="C153" s="149"/>
      <c r="D153" s="149"/>
      <c r="E153" s="149"/>
      <c r="F153" s="149"/>
      <c r="G153" s="149"/>
      <c r="H153" s="149"/>
      <c r="I153" s="149"/>
      <c r="J153" s="149"/>
      <c r="K153" s="149"/>
    </row>
    <row r="154" spans="1:11">
      <c r="A154" s="149"/>
      <c r="B154" s="149"/>
      <c r="C154" s="149"/>
      <c r="D154" s="149"/>
      <c r="E154" s="149"/>
      <c r="F154" s="149"/>
      <c r="G154" s="149"/>
      <c r="H154" s="149"/>
      <c r="I154" s="149"/>
      <c r="J154" s="149"/>
      <c r="K154" s="149"/>
    </row>
    <row r="155" spans="1:11">
      <c r="A155" s="149"/>
      <c r="B155" s="149"/>
      <c r="C155" s="149"/>
      <c r="D155" s="149"/>
      <c r="E155" s="149"/>
      <c r="F155" s="149"/>
      <c r="G155" s="149"/>
      <c r="H155" s="149"/>
      <c r="I155" s="149"/>
      <c r="J155" s="149"/>
      <c r="K155" s="149"/>
    </row>
    <row r="156" spans="1:11">
      <c r="A156" s="149"/>
      <c r="B156" s="149"/>
      <c r="C156" s="149"/>
      <c r="D156" s="149"/>
      <c r="E156" s="149"/>
      <c r="F156" s="149"/>
      <c r="G156" s="149"/>
      <c r="H156" s="149"/>
      <c r="I156" s="149"/>
      <c r="J156" s="149"/>
      <c r="K156" s="149"/>
    </row>
    <row r="157" spans="1:11">
      <c r="A157" s="149"/>
      <c r="B157" s="149"/>
      <c r="C157" s="149"/>
      <c r="D157" s="149"/>
      <c r="E157" s="149"/>
      <c r="F157" s="149"/>
      <c r="G157" s="149"/>
      <c r="H157" s="149"/>
      <c r="I157" s="149"/>
      <c r="J157" s="149"/>
      <c r="K157" s="149"/>
    </row>
    <row r="158" spans="1:11">
      <c r="A158" s="153" t="s">
        <v>30</v>
      </c>
      <c r="B158" s="153">
        <f ca="1">COUNTIF('4'!D6:D17,"&gt;0")</f>
        <v>7</v>
      </c>
      <c r="C158" s="149"/>
      <c r="D158" s="149"/>
      <c r="E158" s="149"/>
      <c r="F158" s="149"/>
      <c r="G158" s="149"/>
      <c r="H158" s="149"/>
      <c r="I158" s="149"/>
      <c r="J158" s="149"/>
      <c r="K158" s="149"/>
    </row>
    <row r="159" spans="1:11">
      <c r="A159" s="149"/>
      <c r="B159" s="149"/>
      <c r="C159" s="149"/>
      <c r="D159" s="149"/>
      <c r="E159" s="149"/>
      <c r="F159" s="149"/>
      <c r="G159" s="149"/>
      <c r="H159" s="149"/>
      <c r="I159" s="149"/>
      <c r="J159" s="149"/>
      <c r="K159" s="149"/>
    </row>
    <row r="160" spans="1:11" ht="15" customHeight="1">
      <c r="A160" s="149"/>
      <c r="B160" s="388" t="s">
        <v>172</v>
      </c>
      <c r="C160" s="388"/>
      <c r="D160" s="389" t="s">
        <v>155</v>
      </c>
      <c r="E160" s="389" t="s">
        <v>182</v>
      </c>
      <c r="F160" s="149"/>
      <c r="G160" s="149"/>
      <c r="H160" s="393" t="s">
        <v>174</v>
      </c>
      <c r="I160" s="394"/>
      <c r="J160" s="390" t="s">
        <v>155</v>
      </c>
      <c r="K160" s="389" t="s">
        <v>182</v>
      </c>
    </row>
    <row r="161" spans="1:11">
      <c r="A161" s="149"/>
      <c r="B161" s="388"/>
      <c r="C161" s="388"/>
      <c r="D161" s="389"/>
      <c r="E161" s="389"/>
      <c r="F161" s="149"/>
      <c r="G161" s="149"/>
      <c r="H161" s="395"/>
      <c r="I161" s="396"/>
      <c r="J161" s="391"/>
      <c r="K161" s="389"/>
    </row>
    <row r="162" spans="1:11">
      <c r="A162" s="149"/>
      <c r="B162" s="388"/>
      <c r="C162" s="388"/>
      <c r="D162" s="389"/>
      <c r="E162" s="389"/>
      <c r="F162" s="149"/>
      <c r="G162" s="149"/>
      <c r="H162" s="397"/>
      <c r="I162" s="398"/>
      <c r="J162" s="391"/>
      <c r="K162" s="389"/>
    </row>
    <row r="163" spans="1:11">
      <c r="A163" s="149"/>
      <c r="B163" s="167" cm="1">
        <f t="array" aca="1" ref="B163" ca="1">INDIRECT(ADDRESS(ROW('3'!DE4),COLUMN('3'!DE4)+ROW('3'!A$1)*B158+24,1,1,"3"))</f>
        <v>45839</v>
      </c>
      <c r="C163" s="167" cm="1">
        <f t="array" aca="1" ref="C163" ca="1">INDIRECT(ADDRESS(ROW('3'!DE4),COLUMN('3'!DE4)+ROW('3'!A$1)*B158+36,1,1,"3"))</f>
        <v>46204</v>
      </c>
      <c r="D163" s="389"/>
      <c r="E163" s="389"/>
      <c r="F163" s="149"/>
      <c r="G163" s="149"/>
      <c r="H163" s="167" cm="1">
        <f t="array" aca="1" ref="H163" ca="1">INDIRECT(ADDRESS(ROW('3'!DE4),COLUMN('3'!DE4)+ROW('3'!A$1)*B158+24,1,1,"3"))</f>
        <v>45839</v>
      </c>
      <c r="I163" s="167" cm="1">
        <f t="array" aca="1" ref="I163" ca="1">INDIRECT(ADDRESS(ROW('3'!DE4),COLUMN('3'!DE4)+ROW('3'!A$1)*B158+36,1,1,"3"))</f>
        <v>46204</v>
      </c>
      <c r="J163" s="392"/>
      <c r="K163" s="389"/>
    </row>
    <row r="164" spans="1:11">
      <c r="A164" s="165" t="s">
        <v>7</v>
      </c>
      <c r="B164" s="170" cm="1">
        <f t="array" aca="1" ref="B164" ca="1">INDIRECT(ADDRESS(ROW('3'!DE12),COLUMN('3'!DE12)+ROW('3'!A$1)*B158+24,1,1,"3"))</f>
        <v>1590302.9049999975</v>
      </c>
      <c r="C164" s="170" cm="1">
        <f t="array" aca="1" ref="C164" ca="1">INDIRECT(ADDRESS(ROW('3'!DE12),COLUMN('3'!DE12)+ROW('3'!A$1)*B158+36,1,1,"3"))</f>
        <v>1774974.8149999976</v>
      </c>
      <c r="D164" s="171">
        <f ca="1">(C164/B164)*100-100</f>
        <v>11.61237330444294</v>
      </c>
      <c r="E164" s="170">
        <f ca="1">C164-B164</f>
        <v>184671.91000000015</v>
      </c>
      <c r="F164" s="160"/>
      <c r="G164" s="166" t="s">
        <v>2</v>
      </c>
      <c r="H164" s="170" cm="1">
        <f t="array" aca="1" ref="H164" ca="1">INDIRECT(ADDRESS(ROW('3'!DE6),COLUMN('3'!DE6)+ROW('3'!A$1)*B158+24,1,1,"3"))</f>
        <v>1423418.7450000029</v>
      </c>
      <c r="I164" s="170" cm="1">
        <f t="array" aca="1" ref="I164" ca="1">INDIRECT(ADDRESS(ROW('3'!DE6),COLUMN('3'!DE6)+ROW('3'!A$1)*B158+36,1,1,"3"))</f>
        <v>1553971.6630000006</v>
      </c>
      <c r="J164" s="171">
        <f t="shared" ref="J164:J169" ca="1" si="3">(I164/H164)*100-100</f>
        <v>9.1717857769252191</v>
      </c>
      <c r="K164" s="170">
        <f t="shared" ref="K164:K169" ca="1" si="4">I164-H164</f>
        <v>130552.91799999774</v>
      </c>
    </row>
    <row r="165" spans="1:11">
      <c r="A165" s="150" t="s">
        <v>8</v>
      </c>
      <c r="B165" s="157" cm="1">
        <f t="array" aca="1" ref="B165" ca="1">INDIRECT(ADDRESS(ROW('3'!DE13),COLUMN('3'!DE13)+ROW('3'!A$1)*B158+24,1,1,"3"))</f>
        <v>388153.65199999977</v>
      </c>
      <c r="C165" s="157" cm="1">
        <f t="array" aca="1" ref="C165" ca="1">INDIRECT(ADDRESS(ROW('3'!DE13),COLUMN('3'!DE13)+ROW('3'!A$1)*B158+36,1,1,"3"))</f>
        <v>402597.28899999987</v>
      </c>
      <c r="D165" s="158">
        <f t="shared" ref="D165:D171" ca="1" si="5">(C165/B165)*100-100</f>
        <v>3.7211132564585796</v>
      </c>
      <c r="E165" s="157">
        <f t="shared" ref="E165:E171" ca="1" si="6">C165-B165</f>
        <v>14443.637000000104</v>
      </c>
      <c r="F165" s="160"/>
      <c r="G165" s="150" t="s">
        <v>3</v>
      </c>
      <c r="H165" s="157" cm="1">
        <f t="array" aca="1" ref="H165" ca="1">INDIRECT(ADDRESS(ROW('3'!DE7),COLUMN('3'!DE7)+ROW('3'!A$1)*B158+24,1,1,"3"))</f>
        <v>1238509.5449999999</v>
      </c>
      <c r="I165" s="157" cm="1">
        <f t="array" aca="1" ref="I165" ca="1">INDIRECT(ADDRESS(ROW('3'!DE7),COLUMN('3'!DE7)+ROW('3'!A$1)*B158+36,1,1,"3"))</f>
        <v>1358438.3030000012</v>
      </c>
      <c r="J165" s="158">
        <f t="shared" ca="1" si="3"/>
        <v>9.6833131794717957</v>
      </c>
      <c r="K165" s="157">
        <f t="shared" ca="1" si="4"/>
        <v>119928.75800000131</v>
      </c>
    </row>
    <row r="166" spans="1:11">
      <c r="A166" s="150" t="s">
        <v>9</v>
      </c>
      <c r="B166" s="157" cm="1">
        <f t="array" aca="1" ref="B166" ca="1">INDIRECT(ADDRESS(ROW('3'!DE14),COLUMN('3'!DE14)+ROW('3'!A$1)*B158+24,1,1,"3"))</f>
        <v>169178.35699999984</v>
      </c>
      <c r="C166" s="157" cm="1">
        <f t="array" aca="1" ref="C166" ca="1">INDIRECT(ADDRESS(ROW('3'!DE14),COLUMN('3'!DE14)+ROW('3'!A$1)*B158+36,1,1,"3"))</f>
        <v>169528.65799999982</v>
      </c>
      <c r="D166" s="158">
        <f t="shared" ca="1" si="5"/>
        <v>0.20706017377860064</v>
      </c>
      <c r="E166" s="157">
        <f t="shared" ca="1" si="6"/>
        <v>350.30099999997765</v>
      </c>
      <c r="F166" s="160"/>
      <c r="G166" s="150" t="s">
        <v>4</v>
      </c>
      <c r="H166" s="157" cm="1">
        <f t="array" aca="1" ref="H166" ca="1">INDIRECT(ADDRESS(ROW('3'!DE8),COLUMN('3'!DE8)+ROW('3'!A$1)*B158+24,1,1,"3"))</f>
        <v>131632.99300000002</v>
      </c>
      <c r="I166" s="157" cm="1">
        <f t="array" aca="1" ref="I166" ca="1">INDIRECT(ADDRESS(ROW('3'!DE8),COLUMN('3'!DE8)+ROW('3'!A$1)*B158+36,1,1,"3"))</f>
        <v>125353.179</v>
      </c>
      <c r="J166" s="158">
        <f t="shared" ca="1" si="3"/>
        <v>-4.7706990906147695</v>
      </c>
      <c r="K166" s="157">
        <f t="shared" ca="1" si="4"/>
        <v>-6279.814000000013</v>
      </c>
    </row>
    <row r="167" spans="1:11">
      <c r="A167" s="150" t="s">
        <v>10</v>
      </c>
      <c r="B167" s="157" cm="1">
        <f t="array" aca="1" ref="B167" ca="1">INDIRECT(ADDRESS(ROW('3'!DE15),COLUMN('3'!DE15)+ROW('3'!A$1)*B158+24,1,1,"3"))</f>
        <v>68207.905000000028</v>
      </c>
      <c r="C167" s="157" cm="1">
        <f t="array" aca="1" ref="C167" ca="1">INDIRECT(ADDRESS(ROW('3'!DE15),COLUMN('3'!DE15)+ROW('3'!A$1)*B158+36,1,1,"3"))</f>
        <v>71383.135999999999</v>
      </c>
      <c r="D167" s="158">
        <f t="shared" ca="1" si="5"/>
        <v>4.6552243467967003</v>
      </c>
      <c r="E167" s="157">
        <f t="shared" ca="1" si="6"/>
        <v>3175.2309999999707</v>
      </c>
      <c r="F167" s="160"/>
      <c r="G167" s="150" t="s">
        <v>5</v>
      </c>
      <c r="H167" s="157" cm="1">
        <f t="array" aca="1" ref="H167" ca="1">INDIRECT(ADDRESS(ROW('3'!DE9),COLUMN('3'!DE9)+ROW('3'!A$1)*B158+24,1,1,"3"))</f>
        <v>45058.155000000028</v>
      </c>
      <c r="I167" s="157" cm="1">
        <f t="array" aca="1" ref="I167" ca="1">INDIRECT(ADDRESS(ROW('3'!DE9),COLUMN('3'!DE9)+ROW('3'!A$1)*B158+36,1,1,"3"))</f>
        <v>41807.392999999982</v>
      </c>
      <c r="J167" s="158">
        <f t="shared" ca="1" si="3"/>
        <v>-7.2145918979595223</v>
      </c>
      <c r="K167" s="157">
        <f t="shared" ca="1" si="4"/>
        <v>-3250.7620000000461</v>
      </c>
    </row>
    <row r="168" spans="1:11">
      <c r="A168" s="150" t="s">
        <v>11</v>
      </c>
      <c r="B168" s="157" cm="1">
        <f t="array" aca="1" ref="B168" ca="1">INDIRECT(ADDRESS(ROW('3'!DE16),COLUMN('3'!DE16)+ROW('3'!A$1)*B158+24,1,1,"3"))</f>
        <v>322514.26600000006</v>
      </c>
      <c r="C168" s="157" cm="1">
        <f t="array" aca="1" ref="C168" ca="1">INDIRECT(ADDRESS(ROW('3'!DE16),COLUMN('3'!DE16)+ROW('3'!A$1)*B158+36,1,1,"3"))</f>
        <v>395287.14599999995</v>
      </c>
      <c r="D168" s="158">
        <f t="shared" ca="1" si="5"/>
        <v>22.564235964681288</v>
      </c>
      <c r="E168" s="157">
        <f t="shared" ca="1" si="6"/>
        <v>72772.879999999888</v>
      </c>
      <c r="F168" s="160"/>
      <c r="G168" s="162" t="s">
        <v>179</v>
      </c>
      <c r="H168" s="163" cm="1">
        <f t="array" aca="1" ref="H168" ca="1">INDIRECT(ADDRESS(ROW('3'!DE10),COLUMN('3'!DE10)+ROW('3'!A$1)*B158+24,1,1,"3"))</f>
        <v>8141.4139999998733</v>
      </c>
      <c r="I168" s="163" cm="1">
        <f t="array" aca="1" ref="I168" ca="1">INDIRECT(ADDRESS(ROW('3'!DE10),COLUMN('3'!DE10)+ROW('3'!A$1)*B158+36,1,1,"3"))</f>
        <v>28197.714999999851</v>
      </c>
      <c r="J168" s="164">
        <f t="shared" ca="1" si="3"/>
        <v>246.34911085470276</v>
      </c>
      <c r="K168" s="157">
        <f t="shared" ca="1" si="4"/>
        <v>20056.300999999978</v>
      </c>
    </row>
    <row r="169" spans="1:11">
      <c r="A169" s="150" t="s">
        <v>12</v>
      </c>
      <c r="B169" s="157" cm="1">
        <f t="array" aca="1" ref="B169" ca="1">INDIRECT(ADDRESS(ROW('3'!DE17),COLUMN('3'!DE17)+ROW('3'!A$1)*B158+24,1,1,"3"))</f>
        <v>454646.2200000002</v>
      </c>
      <c r="C169" s="157" cm="1">
        <f t="array" aca="1" ref="C169" ca="1">INDIRECT(ADDRESS(ROW('3'!DE17),COLUMN('3'!DE17)+ROW('3'!A$1)*B158+36,1,1,"3"))</f>
        <v>498082.66599999974</v>
      </c>
      <c r="D169" s="158">
        <f t="shared" ca="1" si="5"/>
        <v>9.5539001731939095</v>
      </c>
      <c r="E169" s="157">
        <f t="shared" ca="1" si="6"/>
        <v>43436.445999999531</v>
      </c>
      <c r="F169" s="160"/>
      <c r="G169" s="150" t="s">
        <v>6</v>
      </c>
      <c r="H169" s="157" cm="1">
        <f t="array" aca="1" ref="H169" ca="1">INDIRECT(ADDRESS(ROW('3'!DE11),COLUMN('3'!DE11)+ROW('3'!A$1)*B158+24,1,1,"3"))</f>
        <v>76.638000000000034</v>
      </c>
      <c r="I169" s="157" cm="1">
        <f t="array" aca="1" ref="I169" ca="1">INDIRECT(ADDRESS(ROW('3'!DE11),COLUMN('3'!DE11)+ROW('3'!A$1)*B158+36,1,1,"3"))</f>
        <v>175.07299999999998</v>
      </c>
      <c r="J169" s="283">
        <f t="shared" ca="1" si="3"/>
        <v>128.44150421461924</v>
      </c>
      <c r="K169" s="157">
        <f t="shared" ca="1" si="4"/>
        <v>98.434999999999945</v>
      </c>
    </row>
    <row r="170" spans="1:11">
      <c r="A170" s="150" t="s">
        <v>13</v>
      </c>
      <c r="B170" s="157" cm="1">
        <f t="array" aca="1" ref="B170" ca="1">INDIRECT(ADDRESS(ROW('3'!DE18),COLUMN('3'!DE18)+ROW('3'!A$1)*B158+24,1,1,"3"))</f>
        <v>151159.32999999996</v>
      </c>
      <c r="C170" s="157" cm="1">
        <f t="array" aca="1" ref="C170" ca="1">INDIRECT(ADDRESS(ROW('3'!DE18),COLUMN('3'!DE18)+ROW('3'!A$1)*B158+36,1,1,"3"))</f>
        <v>182516.66999999993</v>
      </c>
      <c r="D170" s="158">
        <f t="shared" ca="1" si="5"/>
        <v>20.744561384335313</v>
      </c>
      <c r="E170" s="157">
        <f t="shared" ca="1" si="6"/>
        <v>31357.339999999967</v>
      </c>
      <c r="F170" s="160"/>
      <c r="G170" s="149"/>
      <c r="H170" s="159"/>
      <c r="I170" s="174"/>
      <c r="J170" s="160"/>
      <c r="K170" s="149"/>
    </row>
    <row r="171" spans="1:11">
      <c r="A171" s="150" t="s">
        <v>14</v>
      </c>
      <c r="B171" s="157" cm="1">
        <f t="array" aca="1" ref="B171" ca="1">INDIRECT(ADDRESS(ROW('3'!DE19),COLUMN('3'!DE19)+ROW('3'!A$1)*B158+24,1,1,"3"))</f>
        <v>36443.175000000017</v>
      </c>
      <c r="C171" s="157" cm="1">
        <f t="array" aca="1" ref="C171" ca="1">INDIRECT(ADDRESS(ROW('3'!DE19),COLUMN('3'!DE19)+ROW('3'!A$1)*B158+36,1,1,"3"))</f>
        <v>55579.25</v>
      </c>
      <c r="D171" s="158">
        <f t="shared" ca="1" si="5"/>
        <v>52.509351888247863</v>
      </c>
      <c r="E171" s="157">
        <f t="shared" ca="1" si="6"/>
        <v>19136.074999999983</v>
      </c>
      <c r="F171" s="160"/>
      <c r="G171" s="149"/>
      <c r="H171" s="159"/>
      <c r="I171" s="159"/>
      <c r="J171" s="160"/>
      <c r="K171" s="149"/>
    </row>
    <row r="172" spans="1:11">
      <c r="A172" s="149"/>
      <c r="B172" s="149"/>
      <c r="C172" s="149"/>
      <c r="D172" s="160"/>
      <c r="E172" s="160"/>
      <c r="F172" s="149"/>
      <c r="G172" s="149"/>
      <c r="H172" s="149"/>
      <c r="I172" s="149"/>
      <c r="J172" s="160"/>
      <c r="K172" s="149"/>
    </row>
    <row r="173" spans="1:11">
      <c r="A173" s="149"/>
      <c r="B173" s="149"/>
      <c r="C173" s="149"/>
      <c r="D173" s="160"/>
      <c r="E173" s="160"/>
      <c r="F173" s="149"/>
      <c r="G173" s="149"/>
      <c r="H173" s="149"/>
      <c r="I173" s="149"/>
      <c r="J173" s="160"/>
      <c r="K173" s="149"/>
    </row>
    <row r="174" spans="1:11">
      <c r="A174" s="149"/>
      <c r="B174" s="149"/>
      <c r="C174" s="149"/>
      <c r="D174" s="160"/>
      <c r="F174" s="149"/>
      <c r="G174" s="149"/>
      <c r="H174" s="149"/>
      <c r="I174" s="149"/>
      <c r="J174" s="160"/>
      <c r="K174" s="149"/>
    </row>
    <row r="175" spans="1:11">
      <c r="A175" s="149"/>
      <c r="B175" s="149"/>
      <c r="C175" s="149"/>
      <c r="D175" s="160"/>
      <c r="E175" s="160"/>
      <c r="G175" s="149"/>
      <c r="H175" s="149"/>
      <c r="I175" s="149"/>
      <c r="J175" s="160"/>
      <c r="K175" s="149"/>
    </row>
    <row r="176" spans="1:11">
      <c r="A176" s="149"/>
      <c r="B176" s="149"/>
      <c r="C176" s="149"/>
      <c r="D176" s="160"/>
      <c r="E176" s="160"/>
      <c r="F176" s="149"/>
      <c r="G176" s="149"/>
      <c r="H176" s="149"/>
      <c r="I176" s="149"/>
      <c r="J176" s="160"/>
      <c r="K176" s="149"/>
    </row>
    <row r="177" spans="1:11">
      <c r="A177" s="149"/>
      <c r="B177" s="149"/>
      <c r="C177" s="149"/>
      <c r="D177" s="160"/>
      <c r="E177" s="160"/>
      <c r="F177" s="149"/>
      <c r="G177" s="149"/>
      <c r="H177" s="149"/>
      <c r="I177" s="149"/>
      <c r="J177" s="160"/>
      <c r="K177" s="149"/>
    </row>
    <row r="178" spans="1:11">
      <c r="A178" s="149"/>
      <c r="C178" s="149"/>
      <c r="D178" s="160"/>
      <c r="E178" s="160"/>
      <c r="F178" s="149"/>
      <c r="G178" s="149"/>
      <c r="H178" s="149"/>
      <c r="I178" s="149"/>
      <c r="J178" s="160"/>
      <c r="K178" s="149"/>
    </row>
    <row r="179" spans="1:11">
      <c r="A179" s="149"/>
      <c r="B179" s="149"/>
      <c r="C179" s="149"/>
      <c r="D179" s="160"/>
      <c r="E179" s="160"/>
      <c r="F179" s="149"/>
      <c r="G179" s="149"/>
      <c r="H179" s="149"/>
      <c r="I179" s="149"/>
      <c r="J179" s="160"/>
      <c r="K179" s="149"/>
    </row>
    <row r="180" spans="1:11">
      <c r="A180" s="149"/>
      <c r="B180" s="149"/>
      <c r="C180" s="149"/>
      <c r="D180" s="160"/>
      <c r="E180" s="160"/>
      <c r="F180" s="149"/>
      <c r="G180" s="149"/>
      <c r="H180" s="149"/>
      <c r="I180" s="149"/>
      <c r="J180" s="160"/>
      <c r="K180" s="149"/>
    </row>
    <row r="181" spans="1:11">
      <c r="A181" s="149"/>
      <c r="B181" s="149"/>
      <c r="C181" s="149"/>
      <c r="D181" s="160"/>
      <c r="E181" s="160"/>
      <c r="F181" s="149"/>
      <c r="G181" s="149"/>
      <c r="H181" s="149"/>
      <c r="I181" s="149"/>
      <c r="J181" s="160"/>
      <c r="K181" s="149"/>
    </row>
    <row r="182" spans="1:11">
      <c r="A182" s="149"/>
      <c r="B182" s="149"/>
      <c r="C182" s="149"/>
      <c r="D182" s="160"/>
      <c r="E182" s="160"/>
      <c r="F182" s="149"/>
      <c r="G182" s="149"/>
      <c r="H182" s="149"/>
      <c r="I182" s="149"/>
      <c r="J182" s="160"/>
      <c r="K182" s="149"/>
    </row>
    <row r="183" spans="1:11">
      <c r="A183" s="149"/>
      <c r="B183" s="149"/>
      <c r="C183" s="149"/>
      <c r="D183" s="160"/>
      <c r="E183" s="160"/>
      <c r="F183" s="149"/>
      <c r="G183" s="149"/>
      <c r="H183" s="149"/>
      <c r="I183" s="149"/>
      <c r="J183" s="160"/>
      <c r="K183" s="149"/>
    </row>
    <row r="184" spans="1:11">
      <c r="A184" s="149"/>
      <c r="B184" s="149"/>
      <c r="C184" s="149"/>
      <c r="D184" s="160"/>
      <c r="E184" s="160"/>
      <c r="F184" s="149"/>
      <c r="G184" s="149"/>
      <c r="H184" s="149"/>
      <c r="I184" s="149"/>
      <c r="J184" s="160"/>
      <c r="K184" s="149"/>
    </row>
    <row r="185" spans="1:11">
      <c r="A185" s="149"/>
      <c r="B185" s="149"/>
      <c r="C185" s="149"/>
      <c r="D185" s="160"/>
      <c r="E185" s="160"/>
      <c r="F185" s="149"/>
      <c r="G185" s="149"/>
      <c r="H185" s="149"/>
      <c r="I185" s="149"/>
      <c r="J185" s="160"/>
      <c r="K185" s="149"/>
    </row>
    <row r="186" spans="1:11">
      <c r="A186" s="149"/>
      <c r="B186" s="149"/>
      <c r="C186" s="149"/>
      <c r="D186" s="160"/>
      <c r="E186" s="160"/>
      <c r="F186" s="149"/>
      <c r="G186" s="149"/>
      <c r="H186" s="149"/>
      <c r="I186" s="149"/>
      <c r="J186" s="160"/>
      <c r="K186" s="149"/>
    </row>
    <row r="187" spans="1:11">
      <c r="A187" s="149"/>
      <c r="B187" s="149"/>
      <c r="C187" s="149"/>
      <c r="D187" s="160"/>
      <c r="E187" s="160"/>
      <c r="F187" s="149"/>
      <c r="G187" s="149"/>
      <c r="H187" s="149"/>
      <c r="I187" s="149"/>
      <c r="J187" s="160"/>
      <c r="K187" s="149"/>
    </row>
    <row r="188" spans="1:11">
      <c r="A188" s="149"/>
      <c r="B188" s="149"/>
      <c r="C188" s="149"/>
      <c r="D188" s="160"/>
      <c r="E188" s="160"/>
      <c r="F188" s="149"/>
      <c r="G188" s="149"/>
      <c r="H188" s="149"/>
      <c r="I188" s="149"/>
      <c r="J188" s="160"/>
      <c r="K188" s="149"/>
    </row>
    <row r="189" spans="1:11">
      <c r="A189" s="149"/>
      <c r="B189" s="149"/>
      <c r="C189" s="149"/>
      <c r="D189" s="160"/>
      <c r="E189" s="160"/>
      <c r="F189" s="149"/>
      <c r="H189" s="149"/>
      <c r="I189" s="149"/>
      <c r="J189" s="160"/>
      <c r="K189" s="149"/>
    </row>
    <row r="190" spans="1:11">
      <c r="A190" s="149"/>
      <c r="B190" s="149"/>
      <c r="C190" s="149"/>
      <c r="D190" s="160"/>
      <c r="E190" s="160"/>
      <c r="F190" s="149"/>
      <c r="G190" s="149"/>
      <c r="H190" s="149"/>
      <c r="I190" s="149"/>
      <c r="J190" s="160"/>
      <c r="K190" s="149"/>
    </row>
    <row r="191" spans="1:11" ht="15" customHeight="1">
      <c r="A191" s="149"/>
      <c r="B191" s="388" t="s">
        <v>173</v>
      </c>
      <c r="C191" s="388"/>
      <c r="D191" s="399" t="s">
        <v>155</v>
      </c>
      <c r="E191" s="389" t="s">
        <v>182</v>
      </c>
      <c r="F191" s="149"/>
      <c r="G191" s="149"/>
      <c r="H191" s="393" t="s">
        <v>175</v>
      </c>
      <c r="I191" s="394"/>
      <c r="J191" s="401" t="s">
        <v>155</v>
      </c>
      <c r="K191" s="389" t="s">
        <v>182</v>
      </c>
    </row>
    <row r="192" spans="1:11">
      <c r="A192" s="149"/>
      <c r="B192" s="388"/>
      <c r="C192" s="388"/>
      <c r="D192" s="399"/>
      <c r="E192" s="389"/>
      <c r="F192" s="149"/>
      <c r="G192" s="149"/>
      <c r="H192" s="395"/>
      <c r="I192" s="396"/>
      <c r="J192" s="402"/>
      <c r="K192" s="389"/>
    </row>
    <row r="193" spans="1:12">
      <c r="A193" s="149"/>
      <c r="B193" s="388"/>
      <c r="C193" s="388"/>
      <c r="D193" s="399"/>
      <c r="E193" s="389"/>
      <c r="F193" s="149"/>
      <c r="G193" s="149"/>
      <c r="H193" s="397"/>
      <c r="I193" s="398"/>
      <c r="J193" s="402"/>
      <c r="K193" s="389"/>
    </row>
    <row r="194" spans="1:12">
      <c r="A194" s="149"/>
      <c r="B194" s="167" cm="1">
        <f t="array" aca="1" ref="B194" ca="1">INDIRECT(ADDRESS(ROW('3'!DE4),COLUMN('3'!DE4)+ROW('3'!A$1)*B158+24,1,1,"3"))</f>
        <v>45839</v>
      </c>
      <c r="C194" s="167" cm="1">
        <f t="array" aca="1" ref="C194" ca="1">INDIRECT(ADDRESS(ROW('3'!DE4),COLUMN('3'!DE4)+ROW('3'!A$1)*B158+36,1,1,"3"))</f>
        <v>46204</v>
      </c>
      <c r="D194" s="399"/>
      <c r="E194" s="389"/>
      <c r="F194" s="149"/>
      <c r="G194" s="149"/>
      <c r="H194" s="167" cm="1">
        <f t="array" aca="1" ref="H194" ca="1">INDIRECT(ADDRESS(ROW('3'!DE4),COLUMN('3'!DE4)+ROW('3'!A$1)*B158+24,1,1,"3"))</f>
        <v>45839</v>
      </c>
      <c r="I194" s="167" cm="1">
        <f t="array" aca="1" ref="I194" ca="1">INDIRECT(ADDRESS(ROW('3'!DE4),COLUMN('3'!DE4)+ROW('3'!A$1)*B158+36,1,1,"3"))</f>
        <v>46204</v>
      </c>
      <c r="J194" s="403"/>
      <c r="K194" s="389"/>
    </row>
    <row r="195" spans="1:12">
      <c r="A195" s="166" t="s">
        <v>7</v>
      </c>
      <c r="B195" s="170" cm="1">
        <f t="array" aca="1" ref="B195" ca="1">INDIRECT(ADDRESS(ROW('1'!BN18),COLUMN('1'!BN18)+ROW('3'!A$1)*B158+26,1,1,"1"))</f>
        <v>10774054.368999999</v>
      </c>
      <c r="C195" s="170" cm="1">
        <f t="array" aca="1" ref="C195" ca="1">INDIRECT(ADDRESS(ROW('1'!BN18),COLUMN('1'!BN18)+ROW('3'!A$1)*B158+39,1,1,"1"))</f>
        <v>11371046.26</v>
      </c>
      <c r="D195" s="171">
        <f ca="1">(C195/B195)*100-100</f>
        <v>5.5410142788745844</v>
      </c>
      <c r="E195" s="170">
        <f ca="1">C195-B195</f>
        <v>596991.89100000076</v>
      </c>
      <c r="F195" s="160"/>
      <c r="G195" s="166" t="s">
        <v>2</v>
      </c>
      <c r="H195" s="170" cm="1">
        <f t="array" aca="1" ref="H195" ca="1">INDIRECT(ADDRESS(ROW('1'!BN12),COLUMN('1'!BN12)+ROW('3'!A$1)*B158+26,1,1,"1"))</f>
        <v>10354115.228000002</v>
      </c>
      <c r="I195" s="170" cm="1">
        <f t="array" aca="1" ref="I195" ca="1">INDIRECT(ADDRESS(ROW('1'!BN12),COLUMN('1'!BN12)+ROW('3'!A$1)*B158+39,1,1,"1"))</f>
        <v>11422109.916000001</v>
      </c>
      <c r="J195" s="171">
        <f t="shared" ref="J195:J200" ca="1" si="7">(I195/H195)*100-100</f>
        <v>10.314688068294672</v>
      </c>
      <c r="K195" s="170">
        <f t="shared" ref="K195:K200" ca="1" si="8">I195-H195</f>
        <v>1067994.6879999992</v>
      </c>
    </row>
    <row r="196" spans="1:12">
      <c r="A196" s="161" t="s">
        <v>8</v>
      </c>
      <c r="B196" s="157" cm="1">
        <f t="array" aca="1" ref="B196" ca="1">INDIRECT(ADDRESS(ROW('1'!BN19),COLUMN('1'!BN19)+ROW('3'!A$1)*B158+26,1,1,"1"))</f>
        <v>2464851.7059999998</v>
      </c>
      <c r="C196" s="157" cm="1">
        <f t="array" aca="1" ref="C196" ca="1">INDIRECT(ADDRESS(ROW('1'!BN19),COLUMN('1'!BN19)+ROW('3'!A$1)*B158+39,1,1,"1"))</f>
        <v>2543827.1170000001</v>
      </c>
      <c r="D196" s="158">
        <f t="shared" ref="D196:D202" ca="1" si="9">(C196/B196)*100-100</f>
        <v>3.2040633847365569</v>
      </c>
      <c r="E196" s="157">
        <f t="shared" ref="E196:E202" ca="1" si="10">C196-B196</f>
        <v>78975.411000000313</v>
      </c>
      <c r="F196" s="149"/>
      <c r="G196" s="150" t="s">
        <v>3</v>
      </c>
      <c r="H196" s="157" cm="1">
        <f t="array" aca="1" ref="H196" ca="1">INDIRECT(ADDRESS(ROW('1'!BN13),COLUMN('1'!BN13)+ROW('3'!A$1)*B158+26,1,1,"1"))</f>
        <v>8133756.2740000002</v>
      </c>
      <c r="I196" s="157" cm="1">
        <f t="array" aca="1" ref="I196" ca="1">INDIRECT(ADDRESS(ROW('1'!BN13),COLUMN('1'!BN13)+ROW('3'!A$1)*B158+39,1,1,"1"))</f>
        <v>8642876.6980000008</v>
      </c>
      <c r="J196" s="158">
        <f t="shared" ca="1" si="7"/>
        <v>6.2593518523222968</v>
      </c>
      <c r="K196" s="157">
        <f t="shared" ca="1" si="8"/>
        <v>509120.42400000058</v>
      </c>
    </row>
    <row r="197" spans="1:12">
      <c r="A197" s="161" t="s">
        <v>9</v>
      </c>
      <c r="B197" s="157" cm="1">
        <f t="array" aca="1" ref="B197" ca="1">INDIRECT(ADDRESS(ROW('1'!BN20),COLUMN('1'!BN20)+ROW('3'!A$1)*B158+26,1,1,"1"))</f>
        <v>1252273.7109999999</v>
      </c>
      <c r="C197" s="157" cm="1">
        <f t="array" aca="1" ref="C197" ca="1">INDIRECT(ADDRESS(ROW('1'!BN20),COLUMN('1'!BN20)+ROW('3'!A$1)*B158+39,1,1,"1"))</f>
        <v>1236632.8459999999</v>
      </c>
      <c r="D197" s="158">
        <f t="shared" ca="1" si="9"/>
        <v>-1.2489973128566305</v>
      </c>
      <c r="E197" s="157">
        <f t="shared" ca="1" si="10"/>
        <v>-15640.864999999991</v>
      </c>
      <c r="F197" s="149"/>
      <c r="G197" s="150" t="s">
        <v>4</v>
      </c>
      <c r="H197" s="157" cm="1">
        <f t="array" aca="1" ref="H197" ca="1">INDIRECT(ADDRESS(ROW('1'!BN14),COLUMN('1'!BN14)+ROW('3'!A$1)*B158+26,1,1,"1"))</f>
        <v>799989.34600000002</v>
      </c>
      <c r="I197" s="157" cm="1">
        <f t="array" aca="1" ref="I197" ca="1">INDIRECT(ADDRESS(ROW('1'!BN14),COLUMN('1'!BN14)+ROW('3'!A$1)*B158+39,1,1,"1"))</f>
        <v>833762.93299999996</v>
      </c>
      <c r="J197" s="158">
        <f t="shared" ca="1" si="7"/>
        <v>4.2217545982168474</v>
      </c>
      <c r="K197" s="157">
        <f t="shared" ca="1" si="8"/>
        <v>33773.586999999941</v>
      </c>
    </row>
    <row r="198" spans="1:12">
      <c r="A198" s="161" t="s">
        <v>10</v>
      </c>
      <c r="B198" s="157" cm="1">
        <f t="array" aca="1" ref="B198" ca="1">INDIRECT(ADDRESS(ROW('1'!BN21),COLUMN('1'!BN21)+ROW('3'!A$1)*B158+26,1,1,"1"))</f>
        <v>353514.19</v>
      </c>
      <c r="C198" s="157" cm="1">
        <f t="array" aca="1" ref="C198" ca="1">INDIRECT(ADDRESS(ROW('1'!BN21),COLUMN('1'!BN21)+ROW('3'!A$1)*B158+39,1,1,"1"))</f>
        <v>400779.94799999997</v>
      </c>
      <c r="D198" s="158">
        <f t="shared" ca="1" si="9"/>
        <v>13.370257640860174</v>
      </c>
      <c r="E198" s="157">
        <f t="shared" ca="1" si="10"/>
        <v>47265.757999999973</v>
      </c>
      <c r="F198" s="149"/>
      <c r="G198" s="150" t="s">
        <v>5</v>
      </c>
      <c r="H198" s="157" cm="1">
        <f t="array" aca="1" ref="H198" ca="1">INDIRECT(ADDRESS(ROW('1'!BN15),COLUMN('1'!BN15)+ROW('3'!A$1)*B158+26,1,1,"1"))</f>
        <v>331693.21000000002</v>
      </c>
      <c r="I198" s="157" cm="1">
        <f t="array" aca="1" ref="I198" ca="1">INDIRECT(ADDRESS(ROW('1'!BN15),COLUMN('1'!BN15)+ROW('3'!A$1)*B158+39,1,1,"1"))</f>
        <v>340049.76299999998</v>
      </c>
      <c r="J198" s="158">
        <f t="shared" ca="1" si="7"/>
        <v>2.519362093664796</v>
      </c>
      <c r="K198" s="157">
        <f t="shared" ca="1" si="8"/>
        <v>8356.5529999999562</v>
      </c>
    </row>
    <row r="199" spans="1:12">
      <c r="A199" s="161" t="s">
        <v>11</v>
      </c>
      <c r="B199" s="157" cm="1">
        <f t="array" aca="1" ref="B199" ca="1">INDIRECT(ADDRESS(ROW('1'!BN22),COLUMN('1'!BN22)+ROW('3'!A$1)*B158+26,1,1,"1"))</f>
        <v>2330784.5</v>
      </c>
      <c r="C199" s="157" cm="1">
        <f t="array" aca="1" ref="C199" ca="1">INDIRECT(ADDRESS(ROW('1'!BN22),COLUMN('1'!BN22)+ROW('3'!A$1)*B158+39,1,1,"1"))</f>
        <v>2382008.4709999999</v>
      </c>
      <c r="D199" s="158">
        <f t="shared" ca="1" si="9"/>
        <v>2.1977137311493209</v>
      </c>
      <c r="E199" s="157">
        <f t="shared" ca="1" si="10"/>
        <v>51223.970999999903</v>
      </c>
      <c r="F199" s="149"/>
      <c r="G199" s="150" t="s">
        <v>179</v>
      </c>
      <c r="H199" s="157" cm="1">
        <f t="array" aca="1" ref="H199" ca="1">INDIRECT(ADDRESS(ROW('1'!BN16),COLUMN('1'!BN16)+ROW('3'!A$1)*B158+26,1,1,"1"))</f>
        <v>1087598.6399999999</v>
      </c>
      <c r="I199" s="157" cm="1">
        <f t="array" aca="1" ref="I199" ca="1">INDIRECT(ADDRESS(ROW('1'!BN16),COLUMN('1'!BN16)+ROW('3'!A$1)*B158+39,1,1,"1"))</f>
        <v>1604575.3089999999</v>
      </c>
      <c r="J199" s="158">
        <f t="shared" ca="1" si="7"/>
        <v>47.53377302862387</v>
      </c>
      <c r="K199" s="157">
        <f t="shared" ca="1" si="8"/>
        <v>516976.66899999999</v>
      </c>
      <c r="L199" s="160"/>
    </row>
    <row r="200" spans="1:12">
      <c r="A200" s="161" t="s">
        <v>12</v>
      </c>
      <c r="B200" s="157" cm="1">
        <f t="array" aca="1" ref="B200" ca="1">INDIRECT(ADDRESS(ROW('1'!BN23),COLUMN('1'!BN23)+ROW('3'!A$1)*B158+26,1,1,"1"))</f>
        <v>3211882.0690000001</v>
      </c>
      <c r="C200" s="157" cm="1">
        <f t="array" aca="1" ref="C200" ca="1">INDIRECT(ADDRESS(ROW('1'!BN23),COLUMN('1'!BN23)+ROW('3'!A$1)*B158+39,1,1,"1"))</f>
        <v>3459186.8229999999</v>
      </c>
      <c r="D200" s="158">
        <f t="shared" ca="1" si="9"/>
        <v>7.6996835091456717</v>
      </c>
      <c r="E200" s="157">
        <f t="shared" ca="1" si="10"/>
        <v>247304.75399999972</v>
      </c>
      <c r="F200" s="149"/>
      <c r="G200" s="150" t="s">
        <v>6</v>
      </c>
      <c r="H200" s="157" cm="1">
        <f t="array" aca="1" ref="H200" ca="1">INDIRECT(ADDRESS(ROW('1'!BN17),COLUMN('1'!BN17)+ROW('3'!A$1)*B158+26,1,1,"1"))</f>
        <v>1077.758</v>
      </c>
      <c r="I200" s="157" cm="1">
        <f t="array" aca="1" ref="I200" ca="1">INDIRECT(ADDRESS(ROW('1'!BN17),COLUMN('1'!BN17)+ROW('3'!A$1)*B158+39,1,1,"1"))</f>
        <v>845.21299999999997</v>
      </c>
      <c r="J200" s="158">
        <f t="shared" ca="1" si="7"/>
        <v>-21.576736150415968</v>
      </c>
      <c r="K200" s="157">
        <f t="shared" ca="1" si="8"/>
        <v>-232.54500000000007</v>
      </c>
    </row>
    <row r="201" spans="1:12">
      <c r="A201" s="161" t="s">
        <v>13</v>
      </c>
      <c r="B201" s="157" cm="1">
        <f t="array" aca="1" ref="B201" ca="1">INDIRECT(ADDRESS(ROW('1'!BN24),COLUMN('1'!BN24)+ROW('3'!A$1)*B158+26,1,1,"1"))</f>
        <v>887226.527</v>
      </c>
      <c r="C201" s="157" cm="1">
        <f t="array" aca="1" ref="C201" ca="1">INDIRECT(ADDRESS(ROW('1'!BN24),COLUMN('1'!BN24)+ROW('3'!A$1)*B158+39,1,1,"1"))</f>
        <v>1100426.47</v>
      </c>
      <c r="D201" s="158">
        <f t="shared" ca="1" si="9"/>
        <v>24.029933338546357</v>
      </c>
      <c r="E201" s="157">
        <f t="shared" ca="1" si="10"/>
        <v>213199.94299999997</v>
      </c>
      <c r="F201" s="160"/>
      <c r="G201" s="149"/>
      <c r="H201" s="159"/>
      <c r="I201" s="159"/>
      <c r="J201" s="154"/>
      <c r="K201" s="149"/>
    </row>
    <row r="202" spans="1:12">
      <c r="A202" s="161" t="s">
        <v>14</v>
      </c>
      <c r="B202" s="157" cm="1">
        <f t="array" aca="1" ref="B202" ca="1">INDIRECT(ADDRESS(ROW('1'!BN25),COLUMN('1'!BN25)+ROW('3'!A$1)*B158+26,1,1,"1"))</f>
        <v>273521.66600000003</v>
      </c>
      <c r="C202" s="157" cm="1">
        <f t="array" aca="1" ref="C202" ca="1">INDIRECT(ADDRESS(ROW('1'!BN25),COLUMN('1'!BN25)+ROW('3'!A$1)*B158+39,1,1,"1"))</f>
        <v>248184.58499999999</v>
      </c>
      <c r="D202" s="158">
        <f t="shared" ca="1" si="9"/>
        <v>-9.2632811764169531</v>
      </c>
      <c r="E202" s="157">
        <f t="shared" ca="1" si="10"/>
        <v>-25337.081000000035</v>
      </c>
      <c r="F202" s="149"/>
      <c r="G202" s="149"/>
      <c r="H202" s="159"/>
      <c r="I202" s="159"/>
      <c r="J202" s="154"/>
      <c r="K202" s="149"/>
    </row>
    <row r="203" spans="1:12">
      <c r="A203" s="149"/>
      <c r="B203" s="149"/>
      <c r="C203" s="149"/>
      <c r="D203" s="149"/>
      <c r="E203" s="149"/>
      <c r="F203" s="149"/>
      <c r="G203" s="149"/>
      <c r="H203" s="149"/>
      <c r="I203" s="149"/>
      <c r="J203" s="149"/>
      <c r="K203" s="149"/>
    </row>
    <row r="204" spans="1:12">
      <c r="A204" s="149"/>
      <c r="B204" s="149"/>
      <c r="C204" s="149"/>
      <c r="D204" s="149"/>
      <c r="E204" s="149"/>
      <c r="F204" s="149"/>
      <c r="G204" s="149"/>
      <c r="H204" s="149"/>
      <c r="I204" s="149"/>
      <c r="J204" s="149"/>
      <c r="K204" s="160"/>
    </row>
    <row r="205" spans="1:12">
      <c r="A205" s="149"/>
      <c r="B205" s="149"/>
      <c r="C205" s="149"/>
      <c r="D205" s="149"/>
      <c r="E205" s="149"/>
      <c r="F205" s="149"/>
      <c r="G205" s="149"/>
      <c r="H205" s="149"/>
      <c r="I205" s="149"/>
      <c r="J205" s="149"/>
      <c r="K205" s="149"/>
    </row>
    <row r="206" spans="1:12">
      <c r="A206" s="149"/>
      <c r="B206" s="149"/>
      <c r="C206" s="149"/>
      <c r="D206" s="149"/>
      <c r="E206" s="149"/>
      <c r="F206" s="149"/>
      <c r="G206" s="149"/>
      <c r="H206" s="149"/>
      <c r="I206" s="149"/>
      <c r="J206" s="149"/>
      <c r="K206" s="149"/>
    </row>
    <row r="207" spans="1:12">
      <c r="A207" s="149"/>
      <c r="B207" s="149"/>
      <c r="C207" s="149"/>
      <c r="D207" s="149"/>
      <c r="E207" s="149"/>
      <c r="F207" s="149"/>
      <c r="G207" s="149"/>
      <c r="H207" s="149"/>
      <c r="I207" s="149"/>
      <c r="J207" s="149"/>
      <c r="K207" s="149"/>
    </row>
    <row r="208" spans="1:12">
      <c r="A208" s="149"/>
      <c r="B208" s="149"/>
      <c r="C208" s="149"/>
      <c r="D208" s="149"/>
      <c r="E208" s="149"/>
      <c r="F208" s="149"/>
      <c r="G208" s="149"/>
      <c r="H208" s="149"/>
      <c r="I208" s="149"/>
      <c r="J208" s="149"/>
      <c r="K208" s="149"/>
    </row>
    <row r="209" spans="1:11">
      <c r="A209" s="149"/>
      <c r="B209" s="149"/>
      <c r="C209" s="149"/>
      <c r="D209" s="149"/>
      <c r="E209" s="149"/>
      <c r="F209" s="149"/>
      <c r="G209" s="149"/>
      <c r="H209" s="149"/>
      <c r="I209" s="149"/>
      <c r="J209" s="149"/>
      <c r="K209" s="149"/>
    </row>
    <row r="210" spans="1:11">
      <c r="A210" s="149"/>
      <c r="B210" s="149"/>
      <c r="C210" s="149"/>
      <c r="D210" s="149"/>
      <c r="E210" s="149"/>
      <c r="F210" s="149"/>
      <c r="G210" s="149"/>
      <c r="H210" s="149"/>
      <c r="J210" s="149"/>
      <c r="K210" s="149"/>
    </row>
    <row r="211" spans="1:11">
      <c r="A211" s="149"/>
      <c r="B211" s="149"/>
      <c r="C211" s="149"/>
      <c r="D211" s="149"/>
      <c r="E211" s="149"/>
      <c r="F211" s="149"/>
      <c r="G211" s="149"/>
      <c r="H211" s="149"/>
      <c r="I211" s="149"/>
      <c r="J211" s="149"/>
      <c r="K211" s="149"/>
    </row>
    <row r="212" spans="1:11">
      <c r="A212" s="149"/>
      <c r="B212" s="149"/>
      <c r="C212" s="149"/>
      <c r="D212" s="149"/>
      <c r="E212" s="149"/>
      <c r="F212" s="149"/>
      <c r="G212" s="149"/>
      <c r="H212" s="149"/>
      <c r="I212" s="149"/>
      <c r="J212" s="149"/>
      <c r="K212" s="149"/>
    </row>
    <row r="213" spans="1:11" s="149" customFormat="1"/>
    <row r="214" spans="1:11" s="149" customFormat="1"/>
    <row r="215" spans="1:11" s="149" customFormat="1"/>
    <row r="216" spans="1:11" s="149" customFormat="1"/>
    <row r="217" spans="1:11" s="149" customFormat="1"/>
    <row r="218" spans="1:11" s="149" customFormat="1"/>
    <row r="219" spans="1:11" s="149" customFormat="1"/>
    <row r="220" spans="1:11" s="149" customFormat="1"/>
    <row r="221" spans="1:11" s="149" customFormat="1"/>
    <row r="222" spans="1:11" s="149" customFormat="1"/>
    <row r="223" spans="1:11" s="149" customFormat="1"/>
    <row r="224" spans="1:11" s="149" customFormat="1"/>
    <row r="225" spans="1:14" s="149" customFormat="1"/>
    <row r="226" spans="1:14" s="149" customFormat="1" ht="14.55" customHeight="1">
      <c r="A226" s="386" t="s">
        <v>235</v>
      </c>
      <c r="B226" s="386"/>
      <c r="C226" s="386"/>
      <c r="D226" s="386"/>
      <c r="E226" s="386"/>
      <c r="F226" s="386"/>
    </row>
    <row r="227" spans="1:14" s="149" customFormat="1">
      <c r="A227" s="386"/>
      <c r="B227" s="386"/>
      <c r="C227" s="386"/>
      <c r="D227" s="386"/>
      <c r="E227" s="386"/>
      <c r="F227" s="386"/>
    </row>
    <row r="228" spans="1:14" s="149" customFormat="1"/>
    <row r="229" spans="1:14" s="149" customFormat="1" ht="28.8" hidden="1">
      <c r="A229" s="373" t="s">
        <v>232</v>
      </c>
      <c r="B229" s="367" t="s">
        <v>156</v>
      </c>
      <c r="C229" s="367" t="s">
        <v>157</v>
      </c>
      <c r="D229" s="367" t="s">
        <v>158</v>
      </c>
      <c r="E229" s="367" t="s">
        <v>159</v>
      </c>
      <c r="F229" s="367" t="s">
        <v>160</v>
      </c>
      <c r="G229" s="367" t="s">
        <v>161</v>
      </c>
      <c r="H229" s="367" t="s">
        <v>162</v>
      </c>
      <c r="I229" s="367" t="s">
        <v>163</v>
      </c>
      <c r="J229" s="367" t="s">
        <v>164</v>
      </c>
      <c r="K229" s="367" t="s">
        <v>165</v>
      </c>
      <c r="L229" s="367" t="s">
        <v>166</v>
      </c>
      <c r="M229" s="367" t="s">
        <v>167</v>
      </c>
      <c r="N229" s="371" t="s">
        <v>225</v>
      </c>
    </row>
    <row r="230" spans="1:14" s="149" customFormat="1" hidden="1">
      <c r="A230" s="376" t="s">
        <v>7</v>
      </c>
      <c r="B230" s="378">
        <f>SUM(B231:B237)</f>
        <v>1464987.29200761</v>
      </c>
      <c r="C230" s="378">
        <f t="shared" ref="C230:L230" si="11">SUM(C231:C237)</f>
        <v>1701661.7280958896</v>
      </c>
      <c r="D230" s="378">
        <f t="shared" si="11"/>
        <v>1655789.7859427461</v>
      </c>
      <c r="E230" s="378">
        <f t="shared" si="11"/>
        <v>1741626.2184061927</v>
      </c>
      <c r="F230" s="378">
        <f t="shared" si="11"/>
        <v>1589692.4532816384</v>
      </c>
      <c r="G230" s="378">
        <f t="shared" si="11"/>
        <v>1658285.6234500906</v>
      </c>
      <c r="H230" s="378">
        <f t="shared" si="11"/>
        <v>1650663.4782497771</v>
      </c>
      <c r="I230" s="378">
        <f t="shared" si="11"/>
        <v>1545386.8786828979</v>
      </c>
      <c r="J230" s="378">
        <f t="shared" si="11"/>
        <v>1551962.8831897096</v>
      </c>
      <c r="K230" s="378">
        <f t="shared" si="11"/>
        <v>1785124.6239651931</v>
      </c>
      <c r="L230" s="378">
        <f t="shared" si="11"/>
        <v>1736468.3243222225</v>
      </c>
      <c r="M230" s="378">
        <f>SUM(M231:M237)</f>
        <v>2772419.5077138799</v>
      </c>
      <c r="N230" s="378">
        <f>'1'!DI18</f>
        <v>20854068.797307841</v>
      </c>
    </row>
    <row r="231" spans="1:14" s="149" customFormat="1" hidden="1">
      <c r="A231" s="366" t="s">
        <v>8</v>
      </c>
      <c r="B231" s="368">
        <f>$N231*Īpatsvari!R36</f>
        <v>228583.84234486328</v>
      </c>
      <c r="C231" s="368">
        <f>$N231*Īpatsvari!S36</f>
        <v>347691.49291484221</v>
      </c>
      <c r="D231" s="368">
        <f>$N231*Īpatsvari!T36</f>
        <v>353956.23373196484</v>
      </c>
      <c r="E231" s="368">
        <f>$N231*Īpatsvari!U36</f>
        <v>368749.3593847836</v>
      </c>
      <c r="F231" s="368">
        <f>$N231*Īpatsvari!V36</f>
        <v>368471.61032408715</v>
      </c>
      <c r="G231" s="368">
        <f>$N231*Īpatsvari!W36</f>
        <v>474825.02387453557</v>
      </c>
      <c r="H231" s="368">
        <f>$N231*Īpatsvari!X36</f>
        <v>390178.51723975432</v>
      </c>
      <c r="I231" s="368">
        <f>$N231*Īpatsvari!Y36</f>
        <v>325817.77838521614</v>
      </c>
      <c r="J231" s="368">
        <f>$N231*Īpatsvari!Z36</f>
        <v>322490.75250994746</v>
      </c>
      <c r="K231" s="368">
        <f>$N231*Īpatsvari!AA36</f>
        <v>373412.56523505534</v>
      </c>
      <c r="L231" s="368">
        <f>$N231*Īpatsvari!AB36</f>
        <v>386950.55803215539</v>
      </c>
      <c r="M231" s="368">
        <f>$N231*Īpatsvari!AC36</f>
        <v>564099.32681803463</v>
      </c>
      <c r="N231" s="368">
        <f>'1'!DI19</f>
        <v>4505227.0607952401</v>
      </c>
    </row>
    <row r="232" spans="1:14" s="149" customFormat="1" hidden="1">
      <c r="A232" s="366" t="s">
        <v>9</v>
      </c>
      <c r="B232" s="368">
        <f>$N232*Īpatsvari!R37</f>
        <v>148664.2096353003</v>
      </c>
      <c r="C232" s="368">
        <f>$N232*Īpatsvari!S37</f>
        <v>190084.49553096917</v>
      </c>
      <c r="D232" s="368">
        <f>$N232*Īpatsvari!T37</f>
        <v>155819.79333636499</v>
      </c>
      <c r="E232" s="368">
        <f>$N232*Īpatsvari!U37</f>
        <v>151357.52048196003</v>
      </c>
      <c r="F232" s="368">
        <f>$N232*Īpatsvari!V37</f>
        <v>149122.84451382174</v>
      </c>
      <c r="G232" s="368">
        <f>$N232*Īpatsvari!W37</f>
        <v>161857.78252745996</v>
      </c>
      <c r="H232" s="368">
        <f>$N232*Īpatsvari!X37</f>
        <v>154288.87407460765</v>
      </c>
      <c r="I232" s="368">
        <f>$N232*Īpatsvari!Y37</f>
        <v>146401.8334388459</v>
      </c>
      <c r="J232" s="368">
        <f>$N232*Īpatsvari!Z37</f>
        <v>168778.05798367952</v>
      </c>
      <c r="K232" s="368">
        <f>$N232*Īpatsvari!AA37</f>
        <v>174359.61811390964</v>
      </c>
      <c r="L232" s="368">
        <f>$N232*Īpatsvari!AB37</f>
        <v>194139.23502734397</v>
      </c>
      <c r="M232" s="368">
        <f>$N232*Īpatsvari!AC37</f>
        <v>412275.32314780692</v>
      </c>
      <c r="N232" s="368">
        <f>'1'!DI20</f>
        <v>2207149.5878120698</v>
      </c>
    </row>
    <row r="233" spans="1:14" s="149" customFormat="1" hidden="1">
      <c r="A233" s="366" t="s">
        <v>10</v>
      </c>
      <c r="B233" s="368">
        <f>$N233*Īpatsvari!R38</f>
        <v>68764.891908956153</v>
      </c>
      <c r="C233" s="368">
        <f>$N233*Īpatsvari!S38</f>
        <v>86495.087834358856</v>
      </c>
      <c r="D233" s="368">
        <f>$N233*Īpatsvari!T38</f>
        <v>63598.854280945801</v>
      </c>
      <c r="E233" s="368">
        <f>$N233*Īpatsvari!U38</f>
        <v>36339.993549648265</v>
      </c>
      <c r="F233" s="368">
        <f>$N233*Īpatsvari!V38</f>
        <v>116428.51882083618</v>
      </c>
      <c r="G233" s="368">
        <f>$N233*Īpatsvari!W38</f>
        <v>7110.7927580891273</v>
      </c>
      <c r="H233" s="368">
        <f>$N233*Īpatsvari!X38</f>
        <v>53483.190999228762</v>
      </c>
      <c r="I233" s="368">
        <f>$N233*Īpatsvari!Y38</f>
        <v>14953.332914609582</v>
      </c>
      <c r="J233" s="368">
        <f>$N233*Īpatsvari!Z38</f>
        <v>35518.066134090906</v>
      </c>
      <c r="K233" s="368">
        <f>$N233*Īpatsvari!AA38</f>
        <v>29989.82408852773</v>
      </c>
      <c r="L233" s="368">
        <f>$N233*Īpatsvari!AB38</f>
        <v>33039.201521230607</v>
      </c>
      <c r="M233" s="368">
        <f>$N233*Īpatsvari!AC38</f>
        <v>13331.366869478006</v>
      </c>
      <c r="N233" s="368">
        <f>'1'!DI21</f>
        <v>559053.12167999998</v>
      </c>
    </row>
    <row r="234" spans="1:14" s="149" customFormat="1" hidden="1">
      <c r="A234" s="366" t="s">
        <v>11</v>
      </c>
      <c r="B234" s="368">
        <f>$N234*Īpatsvari!R39</f>
        <v>375140.53455011919</v>
      </c>
      <c r="C234" s="368">
        <f>$N234*Īpatsvari!S39</f>
        <v>430947.34479177871</v>
      </c>
      <c r="D234" s="368">
        <f>$N234*Īpatsvari!T39</f>
        <v>461501.2423011479</v>
      </c>
      <c r="E234" s="368">
        <f>$N234*Īpatsvari!U39</f>
        <v>510443.27964687278</v>
      </c>
      <c r="F234" s="368">
        <f>$N234*Īpatsvari!V39</f>
        <v>369285.5474896853</v>
      </c>
      <c r="G234" s="368">
        <f>$N234*Īpatsvari!W39</f>
        <v>359262.79724817281</v>
      </c>
      <c r="H234" s="368">
        <f>$N234*Īpatsvari!X39</f>
        <v>399969.75717480195</v>
      </c>
      <c r="I234" s="368">
        <f>$N234*Īpatsvari!Y39</f>
        <v>387165.57404202706</v>
      </c>
      <c r="J234" s="368">
        <f>$N234*Īpatsvari!Z39</f>
        <v>359939.84885985497</v>
      </c>
      <c r="K234" s="368">
        <f>$N234*Īpatsvari!AA39</f>
        <v>463657.85468071344</v>
      </c>
      <c r="L234" s="368">
        <f>$N234*Īpatsvari!AB39</f>
        <v>420915.11606183124</v>
      </c>
      <c r="M234" s="368">
        <f>$N234*Īpatsvari!AC39</f>
        <v>820841.23915299459</v>
      </c>
      <c r="N234" s="368">
        <f>'1'!DI22</f>
        <v>5359070.1359999999</v>
      </c>
    </row>
    <row r="235" spans="1:14" s="149" customFormat="1" hidden="1">
      <c r="A235" s="366" t="s">
        <v>12</v>
      </c>
      <c r="B235" s="368">
        <f>$N235*Īpatsvari!R40</f>
        <v>526566.93993782846</v>
      </c>
      <c r="C235" s="368">
        <f>$N235*Īpatsvari!S40</f>
        <v>498070.91324924451</v>
      </c>
      <c r="D235" s="368">
        <f>$N235*Īpatsvari!T40</f>
        <v>492704.29525171011</v>
      </c>
      <c r="E235" s="368">
        <f>$N235*Īpatsvari!U40</f>
        <v>538776.70222871867</v>
      </c>
      <c r="F235" s="368">
        <f>$N235*Īpatsvari!V40</f>
        <v>458314.23314030282</v>
      </c>
      <c r="G235" s="368">
        <f>$N235*Īpatsvari!W40</f>
        <v>485206.1499096984</v>
      </c>
      <c r="H235" s="368">
        <f>$N235*Īpatsvari!X40</f>
        <v>479803.84172407782</v>
      </c>
      <c r="I235" s="368">
        <f>$N235*Īpatsvari!Y40</f>
        <v>494983.06537555082</v>
      </c>
      <c r="J235" s="368">
        <f>$N235*Īpatsvari!Z40</f>
        <v>482960.72816584934</v>
      </c>
      <c r="K235" s="368">
        <f>$N235*Īpatsvari!AA40</f>
        <v>539684.1828268508</v>
      </c>
      <c r="L235" s="368">
        <f>$N235*Īpatsvari!AB40</f>
        <v>516269.53900245327</v>
      </c>
      <c r="M235" s="368">
        <f>$N235*Īpatsvari!AC40</f>
        <v>528703.66139948484</v>
      </c>
      <c r="N235" s="368">
        <f>'1'!DI23</f>
        <v>6042044.25221177</v>
      </c>
    </row>
    <row r="236" spans="1:14" s="149" customFormat="1" hidden="1">
      <c r="A236" s="366" t="s">
        <v>13</v>
      </c>
      <c r="B236" s="368">
        <f>$N236*Īpatsvari!R41</f>
        <v>85769.139157502024</v>
      </c>
      <c r="C236" s="368">
        <f>$N236*Īpatsvari!S41</f>
        <v>114640.78124004643</v>
      </c>
      <c r="D236" s="368">
        <f>$N236*Īpatsvari!T41</f>
        <v>88768.501721349603</v>
      </c>
      <c r="E236" s="368">
        <f>$N236*Īpatsvari!U41</f>
        <v>105703.18164519407</v>
      </c>
      <c r="F236" s="368">
        <f>$N236*Īpatsvari!V41</f>
        <v>97700.42281545575</v>
      </c>
      <c r="G236" s="368">
        <f>$N236*Īpatsvari!W41</f>
        <v>134585.14892154423</v>
      </c>
      <c r="H236" s="368">
        <f>$N236*Īpatsvari!X41</f>
        <v>135324.5168318591</v>
      </c>
      <c r="I236" s="368">
        <f>$N236*Īpatsvari!Y41</f>
        <v>144519.15490984949</v>
      </c>
      <c r="J236" s="368">
        <f>$N236*Īpatsvari!Z41</f>
        <v>149096.74389258694</v>
      </c>
      <c r="K236" s="368">
        <f>$N236*Īpatsvari!AA41</f>
        <v>166622.73057869857</v>
      </c>
      <c r="L236" s="368">
        <f>$N236*Īpatsvari!AB41</f>
        <v>148231.44858916881</v>
      </c>
      <c r="M236" s="368">
        <f>$N236*Īpatsvari!AC41</f>
        <v>368162.65550551517</v>
      </c>
      <c r="N236" s="368">
        <f>'1'!DI24</f>
        <v>1739124.4258087701</v>
      </c>
    </row>
    <row r="237" spans="1:14" s="149" customFormat="1" hidden="1">
      <c r="A237" s="366" t="s">
        <v>198</v>
      </c>
      <c r="B237" s="368">
        <f>$N237*Īpatsvari!R42</f>
        <v>31497.734473040564</v>
      </c>
      <c r="C237" s="368">
        <f>$N237*Īpatsvari!S42</f>
        <v>33731.612534649787</v>
      </c>
      <c r="D237" s="368">
        <f>$N237*Īpatsvari!T42</f>
        <v>39440.865319262935</v>
      </c>
      <c r="E237" s="368">
        <f>$N237*Īpatsvari!U42</f>
        <v>30256.181469015311</v>
      </c>
      <c r="F237" s="368">
        <f>$N237*Īpatsvari!V42</f>
        <v>30369.276177449323</v>
      </c>
      <c r="G237" s="368">
        <f>$N237*Īpatsvari!W42</f>
        <v>35437.928210590529</v>
      </c>
      <c r="H237" s="368">
        <f>$N237*Īpatsvari!X42</f>
        <v>37614.780205447765</v>
      </c>
      <c r="I237" s="368">
        <f>$N237*Īpatsvari!Y42</f>
        <v>31546.13961679893</v>
      </c>
      <c r="J237" s="368">
        <f>$N237*Īpatsvari!Z42</f>
        <v>33178.685643700403</v>
      </c>
      <c r="K237" s="368">
        <f>$N237*Īpatsvari!AA42</f>
        <v>37397.848441437382</v>
      </c>
      <c r="L237" s="368">
        <f>$N237*Īpatsvari!AB42</f>
        <v>36923.226088039315</v>
      </c>
      <c r="M237" s="368">
        <f>$N237*Īpatsvari!AC42</f>
        <v>65005.934820565366</v>
      </c>
      <c r="N237" s="368">
        <f>'1'!DI25</f>
        <v>442400.2129999976</v>
      </c>
    </row>
    <row r="238" spans="1:14" s="149" customFormat="1" hidden="1">
      <c r="F238" s="160"/>
    </row>
    <row r="239" spans="1:14" s="149" customFormat="1" ht="28.8" hidden="1">
      <c r="A239" s="373" t="s">
        <v>233</v>
      </c>
      <c r="B239" s="367" t="s">
        <v>156</v>
      </c>
      <c r="C239" s="367" t="s">
        <v>157</v>
      </c>
      <c r="D239" s="367" t="s">
        <v>158</v>
      </c>
      <c r="E239" s="367" t="s">
        <v>159</v>
      </c>
      <c r="F239" s="367" t="s">
        <v>160</v>
      </c>
      <c r="G239" s="367" t="s">
        <v>161</v>
      </c>
      <c r="H239" s="367" t="s">
        <v>162</v>
      </c>
      <c r="I239" s="367" t="s">
        <v>163</v>
      </c>
      <c r="J239" s="367" t="s">
        <v>164</v>
      </c>
      <c r="K239" s="367" t="s">
        <v>165</v>
      </c>
      <c r="L239" s="367" t="s">
        <v>166</v>
      </c>
      <c r="M239" s="367" t="s">
        <v>167</v>
      </c>
      <c r="N239" s="371" t="s">
        <v>225</v>
      </c>
    </row>
    <row r="240" spans="1:14" s="149" customFormat="1" hidden="1">
      <c r="A240" s="376" t="s">
        <v>7</v>
      </c>
      <c r="B240" s="378">
        <f>B230</f>
        <v>1464987.29200761</v>
      </c>
      <c r="C240" s="378">
        <f>B240+C230</f>
        <v>3166649.0201034993</v>
      </c>
      <c r="D240" s="378">
        <f t="shared" ref="D240:M240" si="12">C240+D230</f>
        <v>4822438.8060462456</v>
      </c>
      <c r="E240" s="378">
        <f t="shared" si="12"/>
        <v>6564065.0244524386</v>
      </c>
      <c r="F240" s="378">
        <f t="shared" si="12"/>
        <v>8153757.4777340768</v>
      </c>
      <c r="G240" s="378">
        <f t="shared" si="12"/>
        <v>9812043.101184167</v>
      </c>
      <c r="H240" s="378">
        <f t="shared" si="12"/>
        <v>11462706.579433944</v>
      </c>
      <c r="I240" s="378">
        <f t="shared" si="12"/>
        <v>13008093.458116842</v>
      </c>
      <c r="J240" s="378">
        <f t="shared" si="12"/>
        <v>14560056.341306552</v>
      </c>
      <c r="K240" s="378">
        <f t="shared" si="12"/>
        <v>16345180.965271745</v>
      </c>
      <c r="L240" s="378">
        <f t="shared" si="12"/>
        <v>18081649.289593969</v>
      </c>
      <c r="M240" s="378">
        <f t="shared" si="12"/>
        <v>20854068.797307849</v>
      </c>
      <c r="N240" s="378">
        <f>'1'!DI18</f>
        <v>20854068.797307841</v>
      </c>
    </row>
    <row r="241" spans="1:16" s="149" customFormat="1" hidden="1">
      <c r="A241" s="366" t="s">
        <v>8</v>
      </c>
      <c r="B241" s="368">
        <f>B231</f>
        <v>228583.84234486328</v>
      </c>
      <c r="C241" s="368">
        <f t="shared" ref="C241:M247" si="13">B241+C231</f>
        <v>576275.33525970555</v>
      </c>
      <c r="D241" s="368">
        <f>C241+D231</f>
        <v>930231.56899167039</v>
      </c>
      <c r="E241" s="368">
        <f t="shared" si="13"/>
        <v>1298980.9283764539</v>
      </c>
      <c r="F241" s="368">
        <f t="shared" si="13"/>
        <v>1667452.538700541</v>
      </c>
      <c r="G241" s="368">
        <f t="shared" si="13"/>
        <v>2142277.5625750767</v>
      </c>
      <c r="H241" s="368">
        <f t="shared" si="13"/>
        <v>2532456.0798148308</v>
      </c>
      <c r="I241" s="368">
        <f t="shared" si="13"/>
        <v>2858273.8582000472</v>
      </c>
      <c r="J241" s="368">
        <f t="shared" si="13"/>
        <v>3180764.6107099946</v>
      </c>
      <c r="K241" s="368">
        <f t="shared" si="13"/>
        <v>3554177.1759450501</v>
      </c>
      <c r="L241" s="368">
        <f t="shared" si="13"/>
        <v>3941127.7339772056</v>
      </c>
      <c r="M241" s="368">
        <f t="shared" si="13"/>
        <v>4505227.0607952401</v>
      </c>
      <c r="N241" s="368">
        <f>'1'!DI19</f>
        <v>4505227.0607952401</v>
      </c>
    </row>
    <row r="242" spans="1:16" s="149" customFormat="1" hidden="1">
      <c r="A242" s="366" t="s">
        <v>9</v>
      </c>
      <c r="B242" s="368">
        <f t="shared" ref="B242:B247" si="14">B232</f>
        <v>148664.2096353003</v>
      </c>
      <c r="C242" s="368">
        <f t="shared" si="13"/>
        <v>338748.70516626944</v>
      </c>
      <c r="D242" s="368">
        <f t="shared" si="13"/>
        <v>494568.49850263447</v>
      </c>
      <c r="E242" s="368">
        <f t="shared" si="13"/>
        <v>645926.0189845945</v>
      </c>
      <c r="F242" s="368">
        <f t="shared" si="13"/>
        <v>795048.86349841626</v>
      </c>
      <c r="G242" s="368">
        <f t="shared" si="13"/>
        <v>956906.64602587628</v>
      </c>
      <c r="H242" s="368">
        <f t="shared" si="13"/>
        <v>1111195.5201004839</v>
      </c>
      <c r="I242" s="368">
        <f t="shared" si="13"/>
        <v>1257597.3535393297</v>
      </c>
      <c r="J242" s="368">
        <f t="shared" si="13"/>
        <v>1426375.4115230092</v>
      </c>
      <c r="K242" s="368">
        <f t="shared" si="13"/>
        <v>1600735.0296369188</v>
      </c>
      <c r="L242" s="368">
        <f t="shared" si="13"/>
        <v>1794874.2646642628</v>
      </c>
      <c r="M242" s="368">
        <f t="shared" si="13"/>
        <v>2207149.5878120698</v>
      </c>
      <c r="N242" s="368">
        <f>'1'!DI20</f>
        <v>2207149.5878120698</v>
      </c>
    </row>
    <row r="243" spans="1:16" s="149" customFormat="1" hidden="1">
      <c r="A243" s="366" t="s">
        <v>10</v>
      </c>
      <c r="B243" s="368">
        <f t="shared" si="14"/>
        <v>68764.891908956153</v>
      </c>
      <c r="C243" s="368">
        <f t="shared" si="13"/>
        <v>155259.97974331502</v>
      </c>
      <c r="D243" s="368">
        <f t="shared" si="13"/>
        <v>218858.83402426081</v>
      </c>
      <c r="E243" s="368">
        <f t="shared" si="13"/>
        <v>255198.82757390907</v>
      </c>
      <c r="F243" s="368">
        <f t="shared" si="13"/>
        <v>371627.34639474528</v>
      </c>
      <c r="G243" s="368">
        <f t="shared" si="13"/>
        <v>378738.13915283442</v>
      </c>
      <c r="H243" s="368">
        <f t="shared" si="13"/>
        <v>432221.33015206316</v>
      </c>
      <c r="I243" s="368">
        <f t="shared" si="13"/>
        <v>447174.66306667274</v>
      </c>
      <c r="J243" s="368">
        <f t="shared" si="13"/>
        <v>482692.72920076363</v>
      </c>
      <c r="K243" s="368">
        <f t="shared" si="13"/>
        <v>512682.55328929133</v>
      </c>
      <c r="L243" s="368">
        <f t="shared" si="13"/>
        <v>545721.75481052196</v>
      </c>
      <c r="M243" s="368">
        <f t="shared" si="13"/>
        <v>559053.12167999998</v>
      </c>
      <c r="N243" s="368">
        <f>'1'!DI21</f>
        <v>559053.12167999998</v>
      </c>
    </row>
    <row r="244" spans="1:16" s="149" customFormat="1" hidden="1">
      <c r="A244" s="366" t="s">
        <v>11</v>
      </c>
      <c r="B244" s="368">
        <f t="shared" si="14"/>
        <v>375140.53455011919</v>
      </c>
      <c r="C244" s="368">
        <f t="shared" si="13"/>
        <v>806087.8793418979</v>
      </c>
      <c r="D244" s="368">
        <f t="shared" si="13"/>
        <v>1267589.1216430459</v>
      </c>
      <c r="E244" s="368">
        <f t="shared" si="13"/>
        <v>1778032.4012899187</v>
      </c>
      <c r="F244" s="368">
        <f t="shared" si="13"/>
        <v>2147317.9487796039</v>
      </c>
      <c r="G244" s="368">
        <f t="shared" si="13"/>
        <v>2506580.746027777</v>
      </c>
      <c r="H244" s="368">
        <f t="shared" si="13"/>
        <v>2906550.503202579</v>
      </c>
      <c r="I244" s="368">
        <f t="shared" si="13"/>
        <v>3293716.0772446059</v>
      </c>
      <c r="J244" s="368">
        <f t="shared" si="13"/>
        <v>3653655.9261044608</v>
      </c>
      <c r="K244" s="368">
        <f t="shared" si="13"/>
        <v>4117313.7807851741</v>
      </c>
      <c r="L244" s="368">
        <f t="shared" si="13"/>
        <v>4538228.896847005</v>
      </c>
      <c r="M244" s="368">
        <f t="shared" si="13"/>
        <v>5359070.1359999999</v>
      </c>
      <c r="N244" s="368">
        <f>'1'!DI22</f>
        <v>5359070.1359999999</v>
      </c>
    </row>
    <row r="245" spans="1:16" s="149" customFormat="1" hidden="1">
      <c r="A245" s="366" t="s">
        <v>12</v>
      </c>
      <c r="B245" s="368">
        <f t="shared" si="14"/>
        <v>526566.93993782846</v>
      </c>
      <c r="C245" s="368">
        <f t="shared" si="13"/>
        <v>1024637.853187073</v>
      </c>
      <c r="D245" s="368">
        <f t="shared" si="13"/>
        <v>1517342.1484387831</v>
      </c>
      <c r="E245" s="368">
        <f t="shared" si="13"/>
        <v>2056118.8506675018</v>
      </c>
      <c r="F245" s="368">
        <f t="shared" si="13"/>
        <v>2514433.0838078046</v>
      </c>
      <c r="G245" s="368">
        <f t="shared" si="13"/>
        <v>2999639.233717503</v>
      </c>
      <c r="H245" s="368">
        <f t="shared" si="13"/>
        <v>3479443.0754415807</v>
      </c>
      <c r="I245" s="368">
        <f t="shared" si="13"/>
        <v>3974426.1408171314</v>
      </c>
      <c r="J245" s="368">
        <f t="shared" si="13"/>
        <v>4457386.868982981</v>
      </c>
      <c r="K245" s="368">
        <f t="shared" si="13"/>
        <v>4997071.0518098315</v>
      </c>
      <c r="L245" s="368">
        <f t="shared" si="13"/>
        <v>5513340.5908122845</v>
      </c>
      <c r="M245" s="368">
        <f t="shared" si="13"/>
        <v>6042044.2522117691</v>
      </c>
      <c r="N245" s="368">
        <f>'1'!DI23</f>
        <v>6042044.25221177</v>
      </c>
    </row>
    <row r="246" spans="1:16" s="149" customFormat="1" hidden="1">
      <c r="A246" s="366" t="s">
        <v>13</v>
      </c>
      <c r="B246" s="368">
        <f t="shared" si="14"/>
        <v>85769.139157502024</v>
      </c>
      <c r="C246" s="368">
        <f t="shared" si="13"/>
        <v>200409.92039754847</v>
      </c>
      <c r="D246" s="368">
        <f t="shared" si="13"/>
        <v>289178.42211889807</v>
      </c>
      <c r="E246" s="368">
        <f t="shared" si="13"/>
        <v>394881.60376409214</v>
      </c>
      <c r="F246" s="368">
        <f t="shared" si="13"/>
        <v>492582.02657954791</v>
      </c>
      <c r="G246" s="368">
        <f t="shared" si="13"/>
        <v>627167.1755010921</v>
      </c>
      <c r="H246" s="368">
        <f t="shared" si="13"/>
        <v>762491.69233295124</v>
      </c>
      <c r="I246" s="368">
        <f t="shared" si="13"/>
        <v>907010.84724280075</v>
      </c>
      <c r="J246" s="368">
        <f t="shared" si="13"/>
        <v>1056107.5911353878</v>
      </c>
      <c r="K246" s="368">
        <f t="shared" si="13"/>
        <v>1222730.3217140865</v>
      </c>
      <c r="L246" s="368">
        <f t="shared" si="13"/>
        <v>1370961.7703032552</v>
      </c>
      <c r="M246" s="368">
        <f t="shared" si="13"/>
        <v>1739124.4258087703</v>
      </c>
      <c r="N246" s="368">
        <f>'1'!DI24</f>
        <v>1739124.4258087701</v>
      </c>
    </row>
    <row r="247" spans="1:16" s="149" customFormat="1" hidden="1">
      <c r="A247" s="366" t="s">
        <v>198</v>
      </c>
      <c r="B247" s="368">
        <f t="shared" si="14"/>
        <v>31497.734473040564</v>
      </c>
      <c r="C247" s="368">
        <f t="shared" si="13"/>
        <v>65229.347007690347</v>
      </c>
      <c r="D247" s="368">
        <f t="shared" si="13"/>
        <v>104670.21232695327</v>
      </c>
      <c r="E247" s="368">
        <f t="shared" si="13"/>
        <v>134926.39379596859</v>
      </c>
      <c r="F247" s="368">
        <f t="shared" si="13"/>
        <v>165295.66997341791</v>
      </c>
      <c r="G247" s="368">
        <f t="shared" si="13"/>
        <v>200733.59818400844</v>
      </c>
      <c r="H247" s="368">
        <f t="shared" si="13"/>
        <v>238348.37838945619</v>
      </c>
      <c r="I247" s="368">
        <f t="shared" si="13"/>
        <v>269894.51800625515</v>
      </c>
      <c r="J247" s="368">
        <f t="shared" si="13"/>
        <v>303073.20364995557</v>
      </c>
      <c r="K247" s="368">
        <f t="shared" si="13"/>
        <v>340471.05209139292</v>
      </c>
      <c r="L247" s="368">
        <f t="shared" si="13"/>
        <v>377394.27817943227</v>
      </c>
      <c r="M247" s="368">
        <f t="shared" si="13"/>
        <v>442400.21299999766</v>
      </c>
      <c r="N247" s="368">
        <f>'1'!DI25</f>
        <v>442400.2129999976</v>
      </c>
    </row>
    <row r="248" spans="1:16" s="380" customFormat="1" hidden="1">
      <c r="A248" s="381">
        <v>1</v>
      </c>
      <c r="B248" s="382">
        <v>0</v>
      </c>
      <c r="C248" s="382">
        <v>0</v>
      </c>
      <c r="D248" s="382">
        <v>0</v>
      </c>
      <c r="E248" s="382">
        <v>0</v>
      </c>
      <c r="F248" s="382">
        <v>0</v>
      </c>
      <c r="G248" s="382">
        <v>0</v>
      </c>
      <c r="H248" s="382">
        <v>0</v>
      </c>
      <c r="I248" s="382">
        <v>0</v>
      </c>
      <c r="J248" s="382">
        <v>0</v>
      </c>
      <c r="K248" s="382">
        <v>0</v>
      </c>
      <c r="L248" s="382">
        <v>0</v>
      </c>
      <c r="M248" s="382">
        <v>0</v>
      </c>
      <c r="N248" s="382"/>
    </row>
    <row r="249" spans="1:16" s="149" customFormat="1" ht="28.8" hidden="1">
      <c r="A249" s="373" t="s">
        <v>234</v>
      </c>
      <c r="B249" s="367" t="s">
        <v>156</v>
      </c>
      <c r="C249" s="367" t="s">
        <v>157</v>
      </c>
      <c r="D249" s="367" t="s">
        <v>158</v>
      </c>
      <c r="E249" s="367" t="s">
        <v>159</v>
      </c>
      <c r="F249" s="367" t="s">
        <v>160</v>
      </c>
      <c r="G249" s="367" t="s">
        <v>161</v>
      </c>
      <c r="H249" s="367" t="s">
        <v>162</v>
      </c>
      <c r="I249" s="367" t="s">
        <v>163</v>
      </c>
      <c r="J249" s="367" t="s">
        <v>164</v>
      </c>
      <c r="K249" s="367" t="s">
        <v>165</v>
      </c>
      <c r="L249" s="367" t="s">
        <v>166</v>
      </c>
      <c r="M249" s="367" t="s">
        <v>167</v>
      </c>
      <c r="N249" s="369" t="s">
        <v>226</v>
      </c>
    </row>
    <row r="250" spans="1:16" s="149" customFormat="1" hidden="1">
      <c r="A250" s="366" t="s">
        <v>7</v>
      </c>
      <c r="B250" s="379">
        <f>'1'!DB18/Grafiki!B240*100-100</f>
        <v>3.9898414348898541</v>
      </c>
      <c r="C250" s="379">
        <f>'1'!DC18/Grafiki!C240*100-100</f>
        <v>-1.5270634287698499</v>
      </c>
      <c r="D250" s="379">
        <f>'1'!DD18/Grafiki!D240*100-100</f>
        <v>-0.90037117716883586</v>
      </c>
      <c r="E250" s="379">
        <f>'1'!DE18/Grafiki!E240*100-100</f>
        <v>-3.2221433923117218</v>
      </c>
      <c r="F250" s="379">
        <f>'1'!DF18/Grafiki!F240*100-100</f>
        <v>-3.0410897970807156</v>
      </c>
      <c r="G250" s="379">
        <f>'1'!DG18/Grafiki!G240*100-100</f>
        <v>-2.2010875202749531</v>
      </c>
      <c r="H250" s="379">
        <f>'1'!DH18/Grafiki!H240*100-100</f>
        <v>-0.79963941150163009</v>
      </c>
      <c r="I250" s="372"/>
      <c r="J250" s="372"/>
      <c r="K250" s="372"/>
      <c r="L250" s="372"/>
      <c r="M250" s="372"/>
      <c r="N250" s="370">
        <f>'1'!DC18/Grafiki!N240*100</f>
        <v>14.952920273297249</v>
      </c>
    </row>
    <row r="251" spans="1:16" s="149" customFormat="1" hidden="1">
      <c r="A251" s="366" t="s">
        <v>8</v>
      </c>
      <c r="B251" s="379">
        <f>'1'!DB19/Grafiki!B241*100-100</f>
        <v>2.0477215743337069</v>
      </c>
      <c r="C251" s="379">
        <f>'1'!DC19/Grafiki!C241*100-100</f>
        <v>0.78247644214415857</v>
      </c>
      <c r="D251" s="379">
        <f>'1'!DD19/Grafiki!D241*100-100</f>
        <v>0.34163299916541234</v>
      </c>
      <c r="E251" s="379">
        <f>'1'!DE19/Grafiki!E241*100-100</f>
        <v>1.0619237990496799</v>
      </c>
      <c r="F251" s="379">
        <f>'1'!DF19/Grafiki!F241*100-100</f>
        <v>0.7632345151710922</v>
      </c>
      <c r="G251" s="379">
        <f>'1'!DG19/Grafiki!G241*100-100</f>
        <v>-4.8907508223024365E-2</v>
      </c>
      <c r="H251" s="379">
        <f>'1'!DH19/Grafiki!H241*100-100</f>
        <v>0.44901221686737358</v>
      </c>
      <c r="I251" s="370"/>
      <c r="J251" s="370"/>
      <c r="K251" s="370"/>
      <c r="L251" s="370"/>
      <c r="M251" s="370"/>
      <c r="N251" s="370">
        <f>'1'!DC19/Grafiki!N241*100</f>
        <v>12.891349229742991</v>
      </c>
    </row>
    <row r="252" spans="1:16" s="149" customFormat="1" hidden="1">
      <c r="A252" s="366" t="s">
        <v>9</v>
      </c>
      <c r="B252" s="379">
        <f>'1'!DB20/Grafiki!B242*100-100</f>
        <v>-3.3227302303750719</v>
      </c>
      <c r="C252" s="379">
        <f>'1'!DC20/Grafiki!C242*100-100</f>
        <v>-7.4328246225800143</v>
      </c>
      <c r="D252" s="379">
        <f>'1'!DD20/Grafiki!D242*100-100</f>
        <v>3.1251184707800803</v>
      </c>
      <c r="E252" s="379">
        <f>'1'!DE20/Grafiki!E242*100-100</f>
        <v>5.9879332738766777</v>
      </c>
      <c r="F252" s="379">
        <f>'1'!DF20/Grafiki!F242*100-100</f>
        <v>8.7924943624201575</v>
      </c>
      <c r="G252" s="379">
        <f>'1'!DG20/Grafiki!G242*100-100</f>
        <v>11.516018039145678</v>
      </c>
      <c r="H252" s="379">
        <f>'1'!DH20/Grafiki!H242*100-100</f>
        <v>11.288501765033459</v>
      </c>
      <c r="I252" s="370"/>
      <c r="J252" s="370"/>
      <c r="K252" s="370"/>
      <c r="L252" s="370"/>
      <c r="M252" s="370"/>
      <c r="N252" s="370">
        <f>'1'!DC20/Grafiki!N242*100</f>
        <v>14.207016585171267</v>
      </c>
      <c r="O252" s="342"/>
    </row>
    <row r="253" spans="1:16" s="149" customFormat="1" hidden="1">
      <c r="A253" s="366" t="s">
        <v>10</v>
      </c>
      <c r="B253" s="379">
        <f>'1'!DB21/Grafiki!B243*100-100</f>
        <v>56.182496646972936</v>
      </c>
      <c r="C253" s="379">
        <f>'1'!DC21/Grafiki!C243*100-100</f>
        <v>-0.21196430906348951</v>
      </c>
      <c r="D253" s="379">
        <f>'1'!DD21/Grafiki!D243*100-100</f>
        <v>-7.3680197082989451</v>
      </c>
      <c r="E253" s="379">
        <f>'1'!DE21/Grafiki!E243*100-100</f>
        <v>-19.407928729439334</v>
      </c>
      <c r="F253" s="379">
        <f>'1'!DF21/Grafiki!F243*100-100</f>
        <v>-14.778921930144023</v>
      </c>
      <c r="G253" s="379">
        <f>'1'!DG21/Grafiki!G243*100-100</f>
        <v>-13.027821085883147</v>
      </c>
      <c r="H253" s="379">
        <f>'1'!DH21/Grafiki!H243*100-100</f>
        <v>-7.2743707815163958</v>
      </c>
      <c r="I253" s="370"/>
      <c r="J253" s="370"/>
      <c r="K253" s="370"/>
      <c r="L253" s="370"/>
      <c r="M253" s="370"/>
      <c r="N253" s="370">
        <f>'1'!DC21/Grafiki!N243*100</f>
        <v>27.713088075498106</v>
      </c>
      <c r="O253" s="342"/>
      <c r="P253" s="340"/>
    </row>
    <row r="254" spans="1:16" s="149" customFormat="1" hidden="1">
      <c r="A254" s="366" t="s">
        <v>11</v>
      </c>
      <c r="B254" s="379">
        <f>'1'!DB22/Grafiki!B244*100-100</f>
        <v>-1.9504931822134495</v>
      </c>
      <c r="C254" s="379">
        <f>'1'!DC22/Grafiki!C244*100-100</f>
        <v>-14.386020347629184</v>
      </c>
      <c r="D254" s="379">
        <f>'1'!DD22/Grafiki!D244*100-100</f>
        <v>-19.269986738796803</v>
      </c>
      <c r="E254" s="379">
        <f>'1'!DE22/Grafiki!E244*100-100</f>
        <v>-22.2167740589733</v>
      </c>
      <c r="F254" s="379">
        <f>'1'!DF22/Grafiki!F244*100-100</f>
        <v>-21.792128876189679</v>
      </c>
      <c r="G254" s="379">
        <f>'1'!DG22/Grafiki!G244*100-100</f>
        <v>-20.739783541847089</v>
      </c>
      <c r="H254" s="379">
        <f>'1'!DH22/Grafiki!H244*100-100</f>
        <v>-18.046892067576778</v>
      </c>
      <c r="I254" s="370"/>
      <c r="J254" s="370"/>
      <c r="K254" s="370"/>
      <c r="L254" s="370"/>
      <c r="M254" s="370"/>
      <c r="N254" s="370">
        <f>'1'!DC22/Grafiki!N244*100</f>
        <v>12.877680184926769</v>
      </c>
      <c r="O254" s="342"/>
    </row>
    <row r="255" spans="1:16" s="149" customFormat="1" hidden="1">
      <c r="A255" s="366" t="s">
        <v>12</v>
      </c>
      <c r="B255" s="379">
        <f>'1'!DB23/Grafiki!B245*100-100</f>
        <v>-17.176857504291405</v>
      </c>
      <c r="C255" s="379">
        <f>'1'!DC23/Grafiki!C245*100-100</f>
        <v>-8.8283614455299215</v>
      </c>
      <c r="D255" s="379">
        <f>'1'!DD23/Grafiki!D245*100-100</f>
        <v>-4.3427743377842205</v>
      </c>
      <c r="E255" s="379">
        <f>'1'!DE23/Grafiki!E245*100-100</f>
        <v>-1.8695862671081613</v>
      </c>
      <c r="F255" s="379">
        <f>'1'!DF23/Grafiki!F245*100-100</f>
        <v>-2.3054240409539375</v>
      </c>
      <c r="G255" s="379">
        <f>'1'!DG23/Grafiki!G245*100-100</f>
        <v>-1.2846570442321337</v>
      </c>
      <c r="H255" s="379">
        <f>'1'!DH23/Grafiki!H245*100-100</f>
        <v>-0.58216938752504177</v>
      </c>
      <c r="I255" s="370"/>
      <c r="J255" s="370"/>
      <c r="K255" s="370"/>
      <c r="L255" s="370"/>
      <c r="M255" s="370"/>
      <c r="N255" s="370">
        <f>'1'!DC23/Grafiki!N245*100</f>
        <v>15.461308805509516</v>
      </c>
      <c r="O255" s="342"/>
    </row>
    <row r="256" spans="1:16" s="149" customFormat="1" hidden="1">
      <c r="A256" s="366" t="s">
        <v>13</v>
      </c>
      <c r="B256" s="379">
        <f>'1'!DB24/Grafiki!B246*100-100</f>
        <v>108.16527804031642</v>
      </c>
      <c r="C256" s="379">
        <f>'1'!DC24/Grafiki!C246*100-100</f>
        <v>69.154363879557167</v>
      </c>
      <c r="D256" s="379">
        <f>'1'!DD24/Grafiki!D246*100-100</f>
        <v>81.990350505342008</v>
      </c>
      <c r="E256" s="379">
        <f>'1'!DE24/Grafiki!E246*100-100</f>
        <v>53.325278318537812</v>
      </c>
      <c r="F256" s="379">
        <f>'1'!DF24/Grafiki!F246*100-100</f>
        <v>52.806396779571827</v>
      </c>
      <c r="G256" s="379">
        <f>'1'!DG24/Grafiki!G246*100-100</f>
        <v>46.358074187573862</v>
      </c>
      <c r="H256" s="379">
        <f>'1'!DH24/Grafiki!H246*100-100</f>
        <v>44.319797981416599</v>
      </c>
      <c r="I256" s="370"/>
      <c r="J256" s="370"/>
      <c r="K256" s="370"/>
      <c r="L256" s="370"/>
      <c r="M256" s="370"/>
      <c r="N256" s="370">
        <f>'1'!DC24/Grafiki!N246*100</f>
        <v>19.492689595360545</v>
      </c>
      <c r="O256" s="342"/>
    </row>
    <row r="257" spans="1:15" s="149" customFormat="1" hidden="1">
      <c r="A257" s="366" t="s">
        <v>14</v>
      </c>
      <c r="B257" s="379">
        <f>'1'!DB25/Grafiki!B247*100-100</f>
        <v>79.587001879184811</v>
      </c>
      <c r="C257" s="379">
        <f>'1'!DC25/Grafiki!C247*100-100</f>
        <v>62.046043458840842</v>
      </c>
      <c r="D257" s="379">
        <f>'1'!DD25/Grafiki!D247*100-100</f>
        <v>25.921876023614359</v>
      </c>
      <c r="E257" s="379">
        <f>'1'!DE25/Grafiki!E247*100-100</f>
        <v>6.2582679092426048</v>
      </c>
      <c r="F257" s="379">
        <f>'1'!DF25/Grafiki!F247*100-100</f>
        <v>-5.9722985937898159</v>
      </c>
      <c r="G257" s="379">
        <f>'1'!DG25/Grafiki!G247*100-100</f>
        <v>-4.0492788738621783</v>
      </c>
      <c r="H257" s="379">
        <f>'1'!DH25/Grafiki!H247*100-100</f>
        <v>4.1268191866913497</v>
      </c>
      <c r="I257" s="370"/>
      <c r="J257" s="370"/>
      <c r="K257" s="370"/>
      <c r="L257" s="370"/>
      <c r="M257" s="370"/>
      <c r="N257" s="370">
        <f>'1'!DC25/Grafiki!N247*100</f>
        <v>23.892749798472764</v>
      </c>
      <c r="O257" s="342"/>
    </row>
    <row r="258" spans="1:15" s="149" customFormat="1" hidden="1">
      <c r="B258" s="159">
        <f>'1'!DB18-Grafiki!B240</f>
        <v>58450.669992390322</v>
      </c>
      <c r="C258" s="159">
        <f>'1'!DC18-Grafiki!C240</f>
        <v>-48356.739103499334</v>
      </c>
      <c r="D258" s="159">
        <f>'1'!DD18-Grafiki!D240</f>
        <v>-43419.849046245217</v>
      </c>
      <c r="E258" s="159">
        <f>'1'!DE18-Grafiki!E240</f>
        <v>-211503.58745243866</v>
      </c>
      <c r="F258" s="159">
        <f>'1'!DF18-Grafiki!F240</f>
        <v>-247963.08673407696</v>
      </c>
      <c r="G258" s="159">
        <f>'1'!DG18-Grafiki!G240</f>
        <v>-215971.65618416481</v>
      </c>
      <c r="H258" s="159">
        <f>'1'!DH18-Grafiki!H240</f>
        <v>-91660.3194339443</v>
      </c>
    </row>
    <row r="259" spans="1:15" s="149" customFormat="1" hidden="1"/>
    <row r="260" spans="1:15" s="149" customFormat="1" hidden="1">
      <c r="B260" s="340"/>
      <c r="E260" s="375" t="s">
        <v>227</v>
      </c>
      <c r="F260" s="375" t="s">
        <v>229</v>
      </c>
      <c r="G260" s="375" t="s">
        <v>228</v>
      </c>
      <c r="H260" s="375" t="s">
        <v>226</v>
      </c>
    </row>
    <row r="261" spans="1:15" s="149" customFormat="1" hidden="1">
      <c r="D261" s="376" t="s">
        <v>7</v>
      </c>
      <c r="E261" s="379">
        <f>'1'!DH18/1000000</f>
        <v>11.37104626</v>
      </c>
      <c r="F261" s="370">
        <f>G261-E261</f>
        <v>9.4830225373078427</v>
      </c>
      <c r="G261" s="370">
        <v>20.854068797307843</v>
      </c>
      <c r="H261" s="374">
        <f>E261/G261</f>
        <v>0.54526751448465283</v>
      </c>
    </row>
    <row r="262" spans="1:15" s="149" customFormat="1" hidden="1">
      <c r="D262" s="376" t="s">
        <v>2</v>
      </c>
      <c r="E262" s="379">
        <f>'1'!DH12/1000000</f>
        <v>11.422109916000002</v>
      </c>
      <c r="F262" s="370">
        <f>G262-E262</f>
        <v>7.6454714279735985</v>
      </c>
      <c r="G262" s="370">
        <v>19.0675813439736</v>
      </c>
      <c r="H262" s="374">
        <f>E262/G262</f>
        <v>0.59903297172034953</v>
      </c>
    </row>
    <row r="263" spans="1:15" s="149" customFormat="1" hidden="1"/>
    <row r="264" spans="1:15" s="149" customFormat="1" hidden="1">
      <c r="E264" s="340"/>
    </row>
    <row r="265" spans="1:15" s="149" customFormat="1" hidden="1">
      <c r="E265" s="340"/>
    </row>
    <row r="266" spans="1:15" s="149" customFormat="1" hidden="1"/>
    <row r="267" spans="1:15" s="149" customFormat="1" hidden="1"/>
    <row r="268" spans="1:15" s="149" customFormat="1" hidden="1"/>
    <row r="269" spans="1:15" s="149" customFormat="1" hidden="1"/>
    <row r="270" spans="1:15" s="149" customFormat="1" hidden="1"/>
    <row r="271" spans="1:15" s="149" customFormat="1" hidden="1"/>
    <row r="272" spans="1:15" s="149" customFormat="1" hidden="1"/>
    <row r="273" s="149" customFormat="1" hidden="1"/>
    <row r="274" s="149" customFormat="1" hidden="1"/>
    <row r="275" s="149" customFormat="1" hidden="1"/>
    <row r="276" s="149" customFormat="1" hidden="1"/>
    <row r="277" s="149" customFormat="1" hidden="1"/>
    <row r="278" s="149" customFormat="1" hidden="1"/>
    <row r="279" s="149" customFormat="1" hidden="1"/>
    <row r="280" s="149" customFormat="1" hidden="1"/>
    <row r="281" s="149" customFormat="1" hidden="1"/>
    <row r="282" s="149" customFormat="1" hidden="1"/>
    <row r="283" s="149" customFormat="1" hidden="1"/>
    <row r="284" s="149" customFormat="1" hidden="1"/>
    <row r="285" s="149" customFormat="1" hidden="1"/>
    <row r="286" s="149" customFormat="1" hidden="1"/>
    <row r="287" s="149" customFormat="1" hidden="1"/>
    <row r="288" s="149" customFormat="1" hidden="1"/>
    <row r="289" s="149" customFormat="1" hidden="1"/>
    <row r="290" s="149" customFormat="1" hidden="1"/>
    <row r="291" s="149" customFormat="1" hidden="1"/>
    <row r="292" s="149" customFormat="1" hidden="1"/>
    <row r="293" s="149" customFormat="1" hidden="1"/>
    <row r="294" s="149" customFormat="1" hidden="1"/>
    <row r="295" s="149" customFormat="1" hidden="1"/>
    <row r="296" s="149" customFormat="1" hidden="1"/>
    <row r="297" s="149" customFormat="1" hidden="1"/>
    <row r="298" s="149" customFormat="1" hidden="1"/>
    <row r="299" s="149" customFormat="1" hidden="1"/>
    <row r="300" s="149" customFormat="1" hidden="1"/>
    <row r="301" s="149" customFormat="1" hidden="1"/>
    <row r="302" s="149" customFormat="1" hidden="1"/>
    <row r="303" s="149" customFormat="1" hidden="1"/>
    <row r="304" s="149" customFormat="1" hidden="1"/>
    <row r="305" s="149" customFormat="1" hidden="1"/>
    <row r="306" s="149" customFormat="1" hidden="1"/>
    <row r="307" s="149" customFormat="1" hidden="1"/>
    <row r="308" s="149" customFormat="1" hidden="1"/>
    <row r="309" s="149" customFormat="1" hidden="1"/>
    <row r="310" s="149" customFormat="1" hidden="1"/>
    <row r="311" s="149" customFormat="1" hidden="1"/>
    <row r="312" s="149" customFormat="1" hidden="1"/>
    <row r="313" s="149" customFormat="1" hidden="1"/>
    <row r="314" s="149" customFormat="1" hidden="1"/>
    <row r="315" s="149" customFormat="1" hidden="1"/>
    <row r="316" s="149" customFormat="1" hidden="1"/>
    <row r="317" s="149" customFormat="1" hidden="1"/>
    <row r="318" s="149" customFormat="1" hidden="1"/>
    <row r="319" s="149" customFormat="1" hidden="1"/>
    <row r="320" s="149" customFormat="1" hidden="1"/>
    <row r="321" s="149" customFormat="1" hidden="1"/>
    <row r="322" s="149" customFormat="1" hidden="1"/>
    <row r="323" s="149" customFormat="1" hidden="1"/>
    <row r="324" s="149" customFormat="1" hidden="1"/>
    <row r="325" s="149" customFormat="1" hidden="1"/>
    <row r="326" s="149" customFormat="1" hidden="1"/>
    <row r="327" s="149" customFormat="1" hidden="1"/>
    <row r="328" s="149" customFormat="1" hidden="1"/>
    <row r="329" s="149" customFormat="1" hidden="1"/>
    <row r="330" s="149" customFormat="1" hidden="1"/>
    <row r="331" s="149" customFormat="1" hidden="1"/>
    <row r="332" s="149" customFormat="1" hidden="1"/>
    <row r="333" s="149" customFormat="1" hidden="1"/>
    <row r="334" s="149" customFormat="1" hidden="1"/>
    <row r="335" s="149" customFormat="1" hidden="1"/>
    <row r="336" s="149" customFormat="1" hidden="1"/>
    <row r="337" s="149" customFormat="1" hidden="1"/>
    <row r="338" s="149" customFormat="1" hidden="1"/>
    <row r="339" s="149" customFormat="1" hidden="1"/>
    <row r="340" s="149" customFormat="1" hidden="1"/>
    <row r="341" s="149" customFormat="1" hidden="1"/>
    <row r="342" s="149" customFormat="1" hidden="1"/>
    <row r="343" s="149" customFormat="1" hidden="1"/>
    <row r="344" s="149" customFormat="1" hidden="1"/>
    <row r="345" s="149" customFormat="1" hidden="1"/>
    <row r="346" s="149" customFormat="1" hidden="1"/>
    <row r="347" s="149" customFormat="1" hidden="1"/>
    <row r="348" s="149" customFormat="1" hidden="1"/>
    <row r="349" s="149" customFormat="1" hidden="1"/>
    <row r="350" s="149" customFormat="1" hidden="1"/>
    <row r="351" s="149" customFormat="1" hidden="1"/>
  </sheetData>
  <sortState xmlns:xlrd2="http://schemas.microsoft.com/office/spreadsheetml/2017/richdata2" ref="L46:M52">
    <sortCondition ref="M46:M52"/>
  </sortState>
  <mergeCells count="18">
    <mergeCell ref="J191:J194"/>
    <mergeCell ref="E191:E194"/>
    <mergeCell ref="A226:F227"/>
    <mergeCell ref="A42:M43"/>
    <mergeCell ref="A1:I2"/>
    <mergeCell ref="A22:I23"/>
    <mergeCell ref="A76:I77"/>
    <mergeCell ref="B160:C162"/>
    <mergeCell ref="K160:K163"/>
    <mergeCell ref="E160:E163"/>
    <mergeCell ref="J160:J163"/>
    <mergeCell ref="H160:I162"/>
    <mergeCell ref="K191:K194"/>
    <mergeCell ref="B191:C193"/>
    <mergeCell ref="D191:D194"/>
    <mergeCell ref="D160:D163"/>
    <mergeCell ref="A97:I98"/>
    <mergeCell ref="H191:I193"/>
  </mergeCells>
  <phoneticPr fontId="86"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9B40-1F05-4386-9AE2-40255210BF08}">
  <dimension ref="A1:AD43"/>
  <sheetViews>
    <sheetView zoomScale="60" zoomScaleNormal="60" workbookViewId="0"/>
  </sheetViews>
  <sheetFormatPr defaultRowHeight="14.4"/>
  <cols>
    <col min="1" max="1" width="21.5546875" customWidth="1"/>
    <col min="10" max="10" width="10.77734375" customWidth="1"/>
    <col min="12" max="12" width="12.77734375" customWidth="1"/>
    <col min="13" max="13" width="11.44140625" customWidth="1"/>
    <col min="14" max="14" width="12.5546875" customWidth="1"/>
    <col min="15" max="15" width="10.44140625" bestFit="1" customWidth="1"/>
    <col min="17" max="17" width="21.77734375" customWidth="1"/>
    <col min="18" max="18" width="11.5546875" bestFit="1" customWidth="1"/>
    <col min="22" max="22" width="12.5546875" bestFit="1" customWidth="1"/>
    <col min="26" max="26" width="12.21875" customWidth="1"/>
    <col min="28" max="29" width="10.77734375" customWidth="1"/>
  </cols>
  <sheetData>
    <row r="1" spans="1:30">
      <c r="A1" s="353">
        <v>2025</v>
      </c>
      <c r="B1" s="351" t="s">
        <v>156</v>
      </c>
      <c r="C1" s="351" t="s">
        <v>157</v>
      </c>
      <c r="D1" s="351" t="s">
        <v>158</v>
      </c>
      <c r="E1" s="351" t="s">
        <v>159</v>
      </c>
      <c r="F1" s="351" t="s">
        <v>160</v>
      </c>
      <c r="G1" s="351" t="s">
        <v>161</v>
      </c>
      <c r="H1" s="351" t="s">
        <v>162</v>
      </c>
      <c r="I1" s="351" t="s">
        <v>163</v>
      </c>
      <c r="J1" s="351" t="s">
        <v>164</v>
      </c>
      <c r="K1" s="351" t="s">
        <v>165</v>
      </c>
      <c r="L1" s="351" t="s">
        <v>166</v>
      </c>
      <c r="M1" s="351" t="s">
        <v>167</v>
      </c>
      <c r="N1" s="352" t="s">
        <v>168</v>
      </c>
      <c r="O1" s="351" t="s">
        <v>224</v>
      </c>
      <c r="Q1" s="353">
        <v>2025</v>
      </c>
      <c r="R1" s="351" t="s">
        <v>156</v>
      </c>
      <c r="S1" s="351" t="s">
        <v>157</v>
      </c>
      <c r="T1" s="351" t="s">
        <v>158</v>
      </c>
      <c r="U1" s="351" t="s">
        <v>159</v>
      </c>
      <c r="V1" s="351" t="s">
        <v>160</v>
      </c>
      <c r="W1" s="351" t="s">
        <v>161</v>
      </c>
      <c r="X1" s="351" t="s">
        <v>162</v>
      </c>
      <c r="Y1" s="351" t="s">
        <v>163</v>
      </c>
      <c r="Z1" s="351" t="s">
        <v>164</v>
      </c>
      <c r="AA1" s="351" t="s">
        <v>165</v>
      </c>
      <c r="AB1" s="351" t="s">
        <v>166</v>
      </c>
      <c r="AC1" s="351" t="s">
        <v>167</v>
      </c>
      <c r="AD1" s="352" t="s">
        <v>222</v>
      </c>
    </row>
    <row r="2" spans="1:30">
      <c r="A2" s="350" t="s">
        <v>7</v>
      </c>
      <c r="B2" s="146">
        <f>'3'!ED12</f>
        <v>1413198.9710000001</v>
      </c>
      <c r="C2" s="146">
        <f>'3'!EE12</f>
        <v>1547341.149</v>
      </c>
      <c r="D2" s="146">
        <f>'3'!EF12</f>
        <v>1614308.0899999999</v>
      </c>
      <c r="E2" s="146">
        <f>'3'!EG12</f>
        <v>1653208.0950000007</v>
      </c>
      <c r="F2" s="146">
        <f>'3'!EH12</f>
        <v>1414765.2749999994</v>
      </c>
      <c r="G2" s="146">
        <f>'3'!EI12</f>
        <v>1540929.8840000015</v>
      </c>
      <c r="H2" s="146">
        <f>'3'!EJ12</f>
        <v>1590302.9049999975</v>
      </c>
      <c r="I2" s="146">
        <f>'3'!EK12</f>
        <v>1447542.7019999996</v>
      </c>
      <c r="J2" s="146">
        <f>'3'!EL12</f>
        <v>1539352.0540000014</v>
      </c>
      <c r="K2" s="146">
        <f>'3'!EM12</f>
        <v>1659907.5130000003</v>
      </c>
      <c r="L2" s="146">
        <f>'3'!EN12</f>
        <v>1557197.1920000017</v>
      </c>
      <c r="M2" s="146">
        <f>'3'!EO12</f>
        <v>2540369.5939999968</v>
      </c>
      <c r="N2" s="354">
        <f>SUM(B2:M2)</f>
        <v>19518423.423999999</v>
      </c>
      <c r="O2" s="146">
        <f>'1'!DA18</f>
        <v>19886976.093416795</v>
      </c>
      <c r="Q2" s="350" t="s">
        <v>7</v>
      </c>
      <c r="R2" s="355">
        <f>B2/$N2</f>
        <v>7.2403336084118364E-2</v>
      </c>
      <c r="S2" s="355">
        <f t="shared" ref="S2:AC9" si="0">C2/$N2</f>
        <v>7.9275928971669796E-2</v>
      </c>
      <c r="T2" s="355">
        <f t="shared" si="0"/>
        <v>8.2706889533661551E-2</v>
      </c>
      <c r="U2" s="355">
        <f t="shared" si="0"/>
        <v>8.4699878626836408E-2</v>
      </c>
      <c r="V2" s="355">
        <f t="shared" si="0"/>
        <v>7.2483583549088987E-2</v>
      </c>
      <c r="W2" s="355">
        <f t="shared" si="0"/>
        <v>7.8947456488994011E-2</v>
      </c>
      <c r="X2" s="355">
        <f t="shared" si="0"/>
        <v>8.1477016378512887E-2</v>
      </c>
      <c r="Y2" s="355">
        <f t="shared" si="0"/>
        <v>7.4162890647207214E-2</v>
      </c>
      <c r="Z2" s="355">
        <f t="shared" si="0"/>
        <v>7.8866618505017305E-2</v>
      </c>
      <c r="AA2" s="355">
        <f t="shared" si="0"/>
        <v>8.5043114238364442E-2</v>
      </c>
      <c r="AB2" s="355">
        <f t="shared" si="0"/>
        <v>7.9780889991619933E-2</v>
      </c>
      <c r="AC2" s="355">
        <f t="shared" si="0"/>
        <v>0.1301523969849091</v>
      </c>
      <c r="AD2" s="356">
        <f>SUM(R2:AC2)</f>
        <v>1</v>
      </c>
    </row>
    <row r="3" spans="1:30">
      <c r="A3" t="s">
        <v>8</v>
      </c>
      <c r="B3" s="146">
        <f>'3'!ED13</f>
        <v>227203</v>
      </c>
      <c r="C3" s="146">
        <f>'3'!EE13</f>
        <v>338190.06299999997</v>
      </c>
      <c r="D3" s="146">
        <f>'3'!EF13</f>
        <v>337732.41100000008</v>
      </c>
      <c r="E3" s="146">
        <f>'3'!EG13</f>
        <v>382157.49400000006</v>
      </c>
      <c r="F3" s="146">
        <f>'3'!EH13</f>
        <v>345727.85399999982</v>
      </c>
      <c r="G3" s="146">
        <f>'3'!EI13</f>
        <v>445687.23200000008</v>
      </c>
      <c r="H3" s="146">
        <f>'3'!EJ13</f>
        <v>388153.65199999977</v>
      </c>
      <c r="I3" s="146">
        <f>'3'!EK13</f>
        <v>319729.79500000039</v>
      </c>
      <c r="J3" s="146">
        <f>'3'!EL13</f>
        <v>309237.16299999971</v>
      </c>
      <c r="K3" s="146">
        <f>'3'!EM13</f>
        <v>363546.8330000001</v>
      </c>
      <c r="L3" s="146">
        <f>'3'!EN13</f>
        <v>358552.77799999993</v>
      </c>
      <c r="M3" s="146">
        <f>'3'!EO13</f>
        <v>530346.19499999983</v>
      </c>
      <c r="N3" s="354">
        <f t="shared" ref="N3:N9" si="1">SUM(B3:M3)</f>
        <v>4346264.47</v>
      </c>
      <c r="O3" s="146">
        <f>'1'!DA19</f>
        <v>4296827.0471847402</v>
      </c>
      <c r="Q3" t="s">
        <v>8</v>
      </c>
      <c r="R3" s="355">
        <f t="shared" ref="R3:R9" si="2">B3/$N3</f>
        <v>5.2275465878402934E-2</v>
      </c>
      <c r="S3" s="355">
        <f t="shared" si="0"/>
        <v>7.781166225257341E-2</v>
      </c>
      <c r="T3" s="355">
        <f t="shared" si="0"/>
        <v>7.7706364472569733E-2</v>
      </c>
      <c r="U3" s="355">
        <f t="shared" si="0"/>
        <v>8.7927804816718871E-2</v>
      </c>
      <c r="V3" s="355">
        <f t="shared" si="0"/>
        <v>7.9545977099732226E-2</v>
      </c>
      <c r="W3" s="355">
        <f t="shared" si="0"/>
        <v>0.10254489460463047</v>
      </c>
      <c r="X3" s="355">
        <f t="shared" si="0"/>
        <v>8.9307416674531029E-2</v>
      </c>
      <c r="Y3" s="355">
        <f t="shared" si="0"/>
        <v>7.356427507044927E-2</v>
      </c>
      <c r="Z3" s="355">
        <f t="shared" si="0"/>
        <v>7.1150102607538679E-2</v>
      </c>
      <c r="AA3" s="355">
        <f t="shared" si="0"/>
        <v>8.364581481623462E-2</v>
      </c>
      <c r="AB3" s="355">
        <f t="shared" si="0"/>
        <v>8.2496769461431307E-2</v>
      </c>
      <c r="AC3" s="355">
        <f t="shared" si="0"/>
        <v>0.12202345224518743</v>
      </c>
      <c r="AD3" s="356">
        <f t="shared" ref="AD3:AD9" si="3">SUM(R3:AC3)</f>
        <v>1.0000000000000002</v>
      </c>
    </row>
    <row r="4" spans="1:30">
      <c r="A4" t="s">
        <v>9</v>
      </c>
      <c r="B4" s="146">
        <f>'3'!ED14</f>
        <v>143305.693</v>
      </c>
      <c r="C4" s="146">
        <f>'3'!EE14</f>
        <v>273132.70400000003</v>
      </c>
      <c r="D4" s="146">
        <f>'3'!EF14</f>
        <v>168956.81999999995</v>
      </c>
      <c r="E4" s="146">
        <f>'3'!EG14</f>
        <v>158512.44300000009</v>
      </c>
      <c r="F4" s="146">
        <f>'3'!EH14</f>
        <v>156793.35499999998</v>
      </c>
      <c r="G4" s="146">
        <f>'3'!EI14</f>
        <v>182394.33900000004</v>
      </c>
      <c r="H4" s="146">
        <f>'3'!EJ14</f>
        <v>169178.35699999984</v>
      </c>
      <c r="I4" s="146">
        <f>'3'!EK14</f>
        <v>149523.16899999999</v>
      </c>
      <c r="J4" s="146">
        <f>'3'!EL14</f>
        <v>187357.57500000019</v>
      </c>
      <c r="K4" s="146">
        <f>'3'!EM14</f>
        <v>177489.22999999998</v>
      </c>
      <c r="L4" s="146">
        <f>'3'!EN14</f>
        <v>202501.13800000004</v>
      </c>
      <c r="M4" s="146">
        <f>'3'!EO14</f>
        <v>366170.6399999999</v>
      </c>
      <c r="N4" s="354">
        <f t="shared" si="1"/>
        <v>2335315.463</v>
      </c>
      <c r="O4" s="146">
        <f>'1'!DA20</f>
        <v>2284168.8613589602</v>
      </c>
      <c r="Q4" t="s">
        <v>9</v>
      </c>
      <c r="R4" s="355">
        <f t="shared" si="2"/>
        <v>6.1364597319073205E-2</v>
      </c>
      <c r="S4" s="355">
        <f t="shared" si="0"/>
        <v>0.11695751958458214</v>
      </c>
      <c r="T4" s="355">
        <f t="shared" si="0"/>
        <v>7.2348606720119141E-2</v>
      </c>
      <c r="U4" s="355">
        <f t="shared" si="0"/>
        <v>6.78762443496055E-2</v>
      </c>
      <c r="V4" s="355">
        <f t="shared" si="0"/>
        <v>6.7140117677540495E-2</v>
      </c>
      <c r="W4" s="355">
        <f t="shared" si="0"/>
        <v>7.8102655461242079E-2</v>
      </c>
      <c r="X4" s="355">
        <f t="shared" si="0"/>
        <v>7.2443470563359966E-2</v>
      </c>
      <c r="Y4" s="355">
        <f t="shared" si="0"/>
        <v>6.402696824861473E-2</v>
      </c>
      <c r="Z4" s="355">
        <f t="shared" si="0"/>
        <v>8.0227951199071126E-2</v>
      </c>
      <c r="AA4" s="355">
        <f t="shared" si="0"/>
        <v>7.6002250150818268E-2</v>
      </c>
      <c r="AB4" s="355">
        <f t="shared" si="0"/>
        <v>8.6712541071373037E-2</v>
      </c>
      <c r="AC4" s="355">
        <f t="shared" si="0"/>
        <v>0.15679707765460033</v>
      </c>
      <c r="AD4" s="356">
        <f t="shared" si="3"/>
        <v>1</v>
      </c>
    </row>
    <row r="5" spans="1:30">
      <c r="A5" t="s">
        <v>10</v>
      </c>
      <c r="B5" s="146">
        <f>'3'!ED15</f>
        <v>98576.904999999999</v>
      </c>
      <c r="C5" s="146">
        <f>'3'!EE15</f>
        <v>48869.095000000001</v>
      </c>
      <c r="D5" s="146">
        <f>'3'!EF15</f>
        <v>51628.005999999994</v>
      </c>
      <c r="E5" s="146">
        <f>'3'!EG15</f>
        <v>4045.1940000000177</v>
      </c>
      <c r="F5" s="146">
        <f>'3'!EH15</f>
        <v>77775.04800000001</v>
      </c>
      <c r="G5" s="146">
        <f>'3'!EI15</f>
        <v>4412.036999999953</v>
      </c>
      <c r="H5" s="146">
        <f>'3'!EJ15</f>
        <v>68207.905000000028</v>
      </c>
      <c r="I5" s="146">
        <f>'3'!EK15</f>
        <v>7875.9369999999763</v>
      </c>
      <c r="J5" s="146">
        <f>'3'!EL15</f>
        <v>23270.601000000024</v>
      </c>
      <c r="K5" s="146">
        <f>'3'!EM15</f>
        <v>16734.449000000022</v>
      </c>
      <c r="L5" s="146">
        <f>'3'!EN15</f>
        <v>11209.114999999991</v>
      </c>
      <c r="M5" s="146">
        <f>'3'!EO15</f>
        <v>11248.065000000002</v>
      </c>
      <c r="N5" s="354">
        <f t="shared" si="1"/>
        <v>423852.35700000002</v>
      </c>
      <c r="O5" s="146">
        <f>'1'!DA21</f>
        <v>458479.32900000003</v>
      </c>
      <c r="Q5" t="s">
        <v>10</v>
      </c>
      <c r="R5" s="355">
        <f t="shared" si="2"/>
        <v>0.23257368603001538</v>
      </c>
      <c r="S5" s="355">
        <f t="shared" si="0"/>
        <v>0.11529744778557406</v>
      </c>
      <c r="T5" s="355">
        <f t="shared" si="0"/>
        <v>0.121806579926604</v>
      </c>
      <c r="U5" s="355">
        <f t="shared" si="0"/>
        <v>9.5438752036950871E-3</v>
      </c>
      <c r="V5" s="355">
        <f t="shared" si="0"/>
        <v>0.1834956128367124</v>
      </c>
      <c r="W5" s="355">
        <f t="shared" si="0"/>
        <v>1.0409372337169645E-2</v>
      </c>
      <c r="X5" s="355">
        <f t="shared" si="0"/>
        <v>0.1609237364698671</v>
      </c>
      <c r="Y5" s="355">
        <f t="shared" si="0"/>
        <v>1.8581793565441884E-2</v>
      </c>
      <c r="Z5" s="355">
        <f t="shared" si="0"/>
        <v>5.4902610816435833E-2</v>
      </c>
      <c r="AA5" s="355">
        <f t="shared" si="0"/>
        <v>3.9481788230329509E-2</v>
      </c>
      <c r="AB5" s="355">
        <f t="shared" si="0"/>
        <v>2.6445800795676572E-2</v>
      </c>
      <c r="AC5" s="355">
        <f t="shared" si="0"/>
        <v>2.6537696002478527E-2</v>
      </c>
      <c r="AD5" s="356">
        <f t="shared" si="3"/>
        <v>1</v>
      </c>
    </row>
    <row r="6" spans="1:30">
      <c r="A6" t="s">
        <v>11</v>
      </c>
      <c r="B6" s="146">
        <f>'3'!ED16</f>
        <v>331213.35399999999</v>
      </c>
      <c r="C6" s="146">
        <f>'3'!EE16</f>
        <v>311752.17499999999</v>
      </c>
      <c r="D6" s="146">
        <f>'3'!EF16</f>
        <v>394747.96900000004</v>
      </c>
      <c r="E6" s="146">
        <f>'3'!EG16</f>
        <v>419502.04200000002</v>
      </c>
      <c r="F6" s="146">
        <f>'3'!EH16</f>
        <v>291518.92200000002</v>
      </c>
      <c r="G6" s="146">
        <f>'3'!EI16</f>
        <v>259535.77199999988</v>
      </c>
      <c r="H6" s="146">
        <f>'3'!EJ16</f>
        <v>322514.26600000006</v>
      </c>
      <c r="I6" s="146">
        <f>'3'!EK16</f>
        <v>338433.89399999985</v>
      </c>
      <c r="J6" s="146">
        <f>'3'!EL16</f>
        <v>325537.679</v>
      </c>
      <c r="K6" s="146">
        <f>'3'!EM16</f>
        <v>401537.39600000018</v>
      </c>
      <c r="L6" s="146">
        <f>'3'!EN16</f>
        <v>320857.25600000005</v>
      </c>
      <c r="M6" s="146">
        <f>'3'!EO16</f>
        <v>636769.52200000035</v>
      </c>
      <c r="N6" s="354">
        <f t="shared" si="1"/>
        <v>4353920.2470000004</v>
      </c>
      <c r="O6" s="146">
        <f>'1'!DA22</f>
        <v>5211521.6454519993</v>
      </c>
      <c r="Q6" t="s">
        <v>11</v>
      </c>
      <c r="R6" s="355">
        <f t="shared" si="2"/>
        <v>7.6072443960868902E-2</v>
      </c>
      <c r="S6" s="355">
        <f t="shared" si="0"/>
        <v>7.1602637924938539E-2</v>
      </c>
      <c r="T6" s="355">
        <f t="shared" si="0"/>
        <v>9.0664951722989148E-2</v>
      </c>
      <c r="U6" s="355">
        <f t="shared" si="0"/>
        <v>9.6350419438447743E-2</v>
      </c>
      <c r="V6" s="355">
        <f t="shared" si="0"/>
        <v>6.6955503422660642E-2</v>
      </c>
      <c r="W6" s="355">
        <f t="shared" si="0"/>
        <v>5.9609675252740073E-2</v>
      </c>
      <c r="X6" s="355">
        <f t="shared" si="0"/>
        <v>7.4074454216799993E-2</v>
      </c>
      <c r="Y6" s="355">
        <f t="shared" si="0"/>
        <v>7.7730843653645784E-2</v>
      </c>
      <c r="Z6" s="355">
        <f t="shared" si="0"/>
        <v>7.476886587996337E-2</v>
      </c>
      <c r="AA6" s="355">
        <f t="shared" si="0"/>
        <v>9.2224334213901402E-2</v>
      </c>
      <c r="AB6" s="355">
        <f t="shared" si="0"/>
        <v>7.369387535774953E-2</v>
      </c>
      <c r="AC6" s="355">
        <f t="shared" si="0"/>
        <v>0.1462519949552949</v>
      </c>
      <c r="AD6" s="356">
        <f t="shared" si="3"/>
        <v>1</v>
      </c>
    </row>
    <row r="7" spans="1:30">
      <c r="A7" t="s">
        <v>12</v>
      </c>
      <c r="B7" s="146">
        <f>'3'!ED17</f>
        <v>474908.63199999998</v>
      </c>
      <c r="C7" s="146">
        <f>'3'!EE17</f>
        <v>458548.06200000003</v>
      </c>
      <c r="D7" s="146">
        <f>'3'!EF17</f>
        <v>460593.58500000008</v>
      </c>
      <c r="E7" s="146">
        <f>'3'!EG17</f>
        <v>526546.42099999986</v>
      </c>
      <c r="F7" s="146">
        <f>'3'!EH17</f>
        <v>388672.34999999986</v>
      </c>
      <c r="G7" s="146">
        <f>'3'!EI17</f>
        <v>447966.79900000012</v>
      </c>
      <c r="H7" s="146">
        <f>'3'!EJ17</f>
        <v>454646.2200000002</v>
      </c>
      <c r="I7" s="146">
        <f>'3'!EK17</f>
        <v>445640.96999999974</v>
      </c>
      <c r="J7" s="146">
        <f>'3'!EL17</f>
        <v>472549.26399999997</v>
      </c>
      <c r="K7" s="146">
        <f>'3'!EM17</f>
        <v>481572.74500000058</v>
      </c>
      <c r="L7" s="146">
        <f>'3'!EN17</f>
        <v>478021.58899999969</v>
      </c>
      <c r="M7" s="146">
        <f>'3'!EO17</f>
        <v>541897.44400000013</v>
      </c>
      <c r="N7" s="354">
        <f t="shared" si="1"/>
        <v>5631564.0810000002</v>
      </c>
      <c r="O7" s="146">
        <f>'1'!DA23</f>
        <v>5633216.9600494495</v>
      </c>
      <c r="Q7" t="s">
        <v>12</v>
      </c>
      <c r="R7" s="355">
        <f t="shared" si="2"/>
        <v>8.4329792783902791E-2</v>
      </c>
      <c r="S7" s="355">
        <f t="shared" si="0"/>
        <v>8.1424637170882622E-2</v>
      </c>
      <c r="T7" s="355">
        <f t="shared" si="0"/>
        <v>8.1787861840011633E-2</v>
      </c>
      <c r="U7" s="355">
        <f t="shared" si="0"/>
        <v>9.3499144008053384E-2</v>
      </c>
      <c r="V7" s="355">
        <f t="shared" si="0"/>
        <v>6.9016767706030088E-2</v>
      </c>
      <c r="W7" s="355">
        <f t="shared" si="0"/>
        <v>7.9545716351052231E-2</v>
      </c>
      <c r="X7" s="355">
        <f t="shared" si="0"/>
        <v>8.0731784893277536E-2</v>
      </c>
      <c r="Y7" s="355">
        <f t="shared" si="0"/>
        <v>7.9132717587911558E-2</v>
      </c>
      <c r="Z7" s="355">
        <f t="shared" si="0"/>
        <v>8.3910838481676145E-2</v>
      </c>
      <c r="AA7" s="355">
        <f t="shared" si="0"/>
        <v>8.5513143075961834E-2</v>
      </c>
      <c r="AB7" s="355">
        <f t="shared" si="0"/>
        <v>8.4882562308536691E-2</v>
      </c>
      <c r="AC7" s="355">
        <f t="shared" si="0"/>
        <v>9.6225033792703474E-2</v>
      </c>
      <c r="AD7" s="356">
        <f t="shared" si="3"/>
        <v>1</v>
      </c>
    </row>
    <row r="8" spans="1:30">
      <c r="A8" t="s">
        <v>13</v>
      </c>
      <c r="B8" s="146">
        <f>'3'!ED18</f>
        <v>95708.82</v>
      </c>
      <c r="C8" s="146">
        <f>'3'!EE18</f>
        <v>81557.924999999988</v>
      </c>
      <c r="D8" s="146">
        <f>'3'!EF18</f>
        <v>152875.50400000002</v>
      </c>
      <c r="E8" s="146">
        <f>'3'!EG18</f>
        <v>125464.08299999998</v>
      </c>
      <c r="F8" s="146">
        <f>'3'!EH18</f>
        <v>113154.82300000003</v>
      </c>
      <c r="G8" s="146">
        <f>'3'!EI18</f>
        <v>167306.04200000002</v>
      </c>
      <c r="H8" s="146">
        <f>'3'!EJ18</f>
        <v>151159.32999999996</v>
      </c>
      <c r="I8" s="146">
        <f>'3'!EK18</f>
        <v>144271.424</v>
      </c>
      <c r="J8" s="146">
        <f>'3'!EL18</f>
        <v>176397.80200000003</v>
      </c>
      <c r="K8" s="146">
        <f>'3'!EM18</f>
        <v>172191.47699999996</v>
      </c>
      <c r="L8" s="146">
        <f>'3'!EN18</f>
        <v>155915.36400000006</v>
      </c>
      <c r="M8" s="146">
        <f>'3'!EO18</f>
        <v>361607.28799999994</v>
      </c>
      <c r="N8" s="354">
        <f t="shared" si="1"/>
        <v>1897609.882</v>
      </c>
      <c r="O8" s="146">
        <f>'1'!DA24</f>
        <v>1569750.3613716431</v>
      </c>
      <c r="Q8" t="s">
        <v>13</v>
      </c>
      <c r="R8" s="355">
        <f t="shared" si="2"/>
        <v>5.0436510110880635E-2</v>
      </c>
      <c r="S8" s="355">
        <f t="shared" si="0"/>
        <v>4.2979289775852879E-2</v>
      </c>
      <c r="T8" s="355">
        <f t="shared" si="0"/>
        <v>8.0562135268222645E-2</v>
      </c>
      <c r="U8" s="355">
        <f t="shared" si="0"/>
        <v>6.611690010159843E-2</v>
      </c>
      <c r="V8" s="355">
        <f t="shared" si="0"/>
        <v>5.9630182195689066E-2</v>
      </c>
      <c r="W8" s="355">
        <f t="shared" si="0"/>
        <v>8.8166721509516266E-2</v>
      </c>
      <c r="X8" s="355">
        <f t="shared" si="0"/>
        <v>7.9657748114530511E-2</v>
      </c>
      <c r="Y8" s="355">
        <f t="shared" si="0"/>
        <v>7.6027968323997164E-2</v>
      </c>
      <c r="Z8" s="355">
        <f t="shared" si="0"/>
        <v>9.2957885429055767E-2</v>
      </c>
      <c r="AA8" s="355">
        <f t="shared" si="0"/>
        <v>9.074124172378227E-2</v>
      </c>
      <c r="AB8" s="355">
        <f t="shared" si="0"/>
        <v>8.2164076757268945E-2</v>
      </c>
      <c r="AC8" s="355">
        <f t="shared" si="0"/>
        <v>0.19055934068960542</v>
      </c>
      <c r="AD8" s="356">
        <f t="shared" si="3"/>
        <v>1</v>
      </c>
    </row>
    <row r="9" spans="1:30">
      <c r="A9" t="s">
        <v>198</v>
      </c>
      <c r="B9" s="146">
        <f>'3'!ED19</f>
        <v>42282.567000000003</v>
      </c>
      <c r="C9" s="146">
        <f>'3'!EE19</f>
        <v>35291.124999999993</v>
      </c>
      <c r="D9" s="146">
        <f>'3'!EF19</f>
        <v>47773.794999999998</v>
      </c>
      <c r="E9" s="146">
        <f>'3'!EG19</f>
        <v>36980.418000000005</v>
      </c>
      <c r="F9" s="146">
        <f>'3'!EH19</f>
        <v>41122.92300000001</v>
      </c>
      <c r="G9" s="146">
        <f>'3'!EI19</f>
        <v>33627.663</v>
      </c>
      <c r="H9" s="146">
        <f>'3'!EJ19</f>
        <v>36443.175000000017</v>
      </c>
      <c r="I9" s="146">
        <f>'3'!EK19</f>
        <v>42067.512999999977</v>
      </c>
      <c r="J9" s="146">
        <f>'3'!EL19</f>
        <v>45001.969999999972</v>
      </c>
      <c r="K9" s="146">
        <f>'3'!EM19</f>
        <v>46835.383000000031</v>
      </c>
      <c r="L9" s="146">
        <f>'3'!EN19</f>
        <v>30139.95199999999</v>
      </c>
      <c r="M9" s="146">
        <f>'3'!EO19</f>
        <v>92330.44</v>
      </c>
      <c r="N9" s="354">
        <f t="shared" si="1"/>
        <v>529896.924</v>
      </c>
      <c r="O9" s="146">
        <f>'1'!DA25</f>
        <v>433011.88900000078</v>
      </c>
      <c r="Q9" t="s">
        <v>198</v>
      </c>
      <c r="R9" s="355">
        <f t="shared" si="2"/>
        <v>7.9793946869561372E-2</v>
      </c>
      <c r="S9" s="355">
        <f t="shared" si="0"/>
        <v>6.659998086722238E-2</v>
      </c>
      <c r="T9" s="355">
        <f t="shared" si="0"/>
        <v>9.0156769809820597E-2</v>
      </c>
      <c r="U9" s="355">
        <f t="shared" si="0"/>
        <v>6.9787946155354552E-2</v>
      </c>
      <c r="V9" s="355">
        <f t="shared" si="0"/>
        <v>7.7605513709303978E-2</v>
      </c>
      <c r="W9" s="355">
        <f t="shared" si="0"/>
        <v>6.3460762795445103E-2</v>
      </c>
      <c r="X9" s="355">
        <f t="shared" si="0"/>
        <v>6.877408293843959E-2</v>
      </c>
      <c r="Y9" s="355">
        <f t="shared" si="0"/>
        <v>7.9388105676189924E-2</v>
      </c>
      <c r="Z9" s="355">
        <f t="shared" si="0"/>
        <v>8.492589400273623E-2</v>
      </c>
      <c r="AA9" s="355">
        <f t="shared" si="0"/>
        <v>8.8385836714160712E-2</v>
      </c>
      <c r="AB9" s="355">
        <f t="shared" si="0"/>
        <v>5.6878895941656737E-2</v>
      </c>
      <c r="AC9" s="355">
        <f t="shared" si="0"/>
        <v>0.17424226452010882</v>
      </c>
      <c r="AD9" s="356">
        <f t="shared" si="3"/>
        <v>0.99999999999999989</v>
      </c>
    </row>
    <row r="10" spans="1:30">
      <c r="O10" s="146"/>
    </row>
    <row r="12" spans="1:30">
      <c r="A12" s="353">
        <v>2024</v>
      </c>
      <c r="B12" s="351" t="s">
        <v>156</v>
      </c>
      <c r="C12" s="351" t="s">
        <v>157</v>
      </c>
      <c r="D12" s="351" t="s">
        <v>158</v>
      </c>
      <c r="E12" s="351" t="s">
        <v>159</v>
      </c>
      <c r="F12" s="351" t="s">
        <v>160</v>
      </c>
      <c r="G12" s="351" t="s">
        <v>161</v>
      </c>
      <c r="H12" s="351" t="s">
        <v>162</v>
      </c>
      <c r="I12" s="351" t="s">
        <v>163</v>
      </c>
      <c r="J12" s="351" t="s">
        <v>164</v>
      </c>
      <c r="K12" s="351" t="s">
        <v>165</v>
      </c>
      <c r="L12" s="351" t="s">
        <v>166</v>
      </c>
      <c r="M12" s="351" t="s">
        <v>167</v>
      </c>
      <c r="N12" s="352" t="s">
        <v>168</v>
      </c>
      <c r="Q12" s="353">
        <v>2024</v>
      </c>
      <c r="R12" s="351" t="s">
        <v>156</v>
      </c>
      <c r="S12" s="351" t="s">
        <v>157</v>
      </c>
      <c r="T12" s="351" t="s">
        <v>158</v>
      </c>
      <c r="U12" s="351" t="s">
        <v>159</v>
      </c>
      <c r="V12" s="351" t="s">
        <v>160</v>
      </c>
      <c r="W12" s="351" t="s">
        <v>161</v>
      </c>
      <c r="X12" s="351" t="s">
        <v>162</v>
      </c>
      <c r="Y12" s="351" t="s">
        <v>163</v>
      </c>
      <c r="Z12" s="351" t="s">
        <v>164</v>
      </c>
      <c r="AA12" s="351" t="s">
        <v>165</v>
      </c>
      <c r="AB12" s="351" t="s">
        <v>166</v>
      </c>
      <c r="AC12" s="351" t="s">
        <v>167</v>
      </c>
    </row>
    <row r="13" spans="1:30">
      <c r="A13" s="350" t="s">
        <v>7</v>
      </c>
      <c r="B13" s="146">
        <f>'3'!DR12</f>
        <v>1303627.6510000001</v>
      </c>
      <c r="C13" s="146">
        <f>'3'!DS12</f>
        <v>1427917.6090000002</v>
      </c>
      <c r="D13" s="146">
        <f>'3'!DT12</f>
        <v>1322792.966</v>
      </c>
      <c r="E13" s="146">
        <f>'3'!DU12</f>
        <v>1553303.541999999</v>
      </c>
      <c r="F13" s="146">
        <f>'3'!DV12</f>
        <v>1362544.1009999998</v>
      </c>
      <c r="G13" s="146">
        <f>'3'!DW12</f>
        <v>1438872.2280000001</v>
      </c>
      <c r="H13" s="146">
        <f>'3'!DX12</f>
        <v>1492723.1660000011</v>
      </c>
      <c r="I13" s="146">
        <f>'3'!DY12</f>
        <v>1314621.5870000012</v>
      </c>
      <c r="J13" s="146">
        <f>'3'!DZ12</f>
        <v>1304550.4690000005</v>
      </c>
      <c r="K13" s="146">
        <f>'3'!EA12</f>
        <v>1578167.1949999984</v>
      </c>
      <c r="L13" s="146">
        <f>'3'!EB12</f>
        <v>1506903.9630000014</v>
      </c>
      <c r="M13" s="146">
        <f>'3'!EC12</f>
        <v>2272808.0069999993</v>
      </c>
      <c r="N13" s="354">
        <f>SUM(B13:M13)</f>
        <v>17878832.484000001</v>
      </c>
      <c r="O13" s="146">
        <f>'1'!CN18</f>
        <v>18898978.871600628</v>
      </c>
      <c r="Q13" s="350" t="s">
        <v>7</v>
      </c>
      <c r="R13" s="355">
        <f>B13/$N13</f>
        <v>7.2914585008088936E-2</v>
      </c>
      <c r="S13" s="355">
        <f t="shared" ref="S13:AC20" si="4">C13/$N13</f>
        <v>7.9866378874451791E-2</v>
      </c>
      <c r="T13" s="355">
        <f t="shared" si="4"/>
        <v>7.3986540630311542E-2</v>
      </c>
      <c r="U13" s="355">
        <f t="shared" si="4"/>
        <v>8.6879472884488981E-2</v>
      </c>
      <c r="V13" s="355">
        <f t="shared" si="4"/>
        <v>7.6209903651111341E-2</v>
      </c>
      <c r="W13" s="355">
        <f t="shared" si="4"/>
        <v>8.0479093323776341E-2</v>
      </c>
      <c r="X13" s="355">
        <f t="shared" si="4"/>
        <v>8.3491087426198457E-2</v>
      </c>
      <c r="Y13" s="355">
        <f t="shared" si="4"/>
        <v>7.3529498538367821E-2</v>
      </c>
      <c r="Z13" s="355">
        <f t="shared" si="4"/>
        <v>7.2966200123383881E-2</v>
      </c>
      <c r="AA13" s="355">
        <f t="shared" si="4"/>
        <v>8.8270148311547794E-2</v>
      </c>
      <c r="AB13" s="355">
        <f t="shared" si="4"/>
        <v>8.428424866939993E-2</v>
      </c>
      <c r="AC13" s="355">
        <f t="shared" si="4"/>
        <v>0.12712284255887316</v>
      </c>
      <c r="AD13" s="356">
        <f>SUM(R13:AC13)</f>
        <v>0.99999999999999989</v>
      </c>
    </row>
    <row r="14" spans="1:30">
      <c r="A14" t="s">
        <v>8</v>
      </c>
      <c r="B14" s="146">
        <f>'3'!DR13</f>
        <v>223838.76</v>
      </c>
      <c r="C14" s="146">
        <f>'3'!DS13</f>
        <v>323655.63</v>
      </c>
      <c r="D14" s="146">
        <f>'3'!DT13</f>
        <v>326712.97699999996</v>
      </c>
      <c r="E14" s="146">
        <f>'3'!DU13</f>
        <v>325691.16600000008</v>
      </c>
      <c r="F14" s="146">
        <f>'3'!DV13</f>
        <v>348178.33400000003</v>
      </c>
      <c r="G14" s="146">
        <f>'3'!DW13</f>
        <v>426185.62699999986</v>
      </c>
      <c r="H14" s="146">
        <f>'3'!DX13</f>
        <v>354724.17500000028</v>
      </c>
      <c r="I14" s="146">
        <f>'3'!DY13</f>
        <v>293324.55599999987</v>
      </c>
      <c r="J14" s="146">
        <f>'3'!DZ13</f>
        <v>285460.77</v>
      </c>
      <c r="K14" s="146">
        <f>'3'!EA13</f>
        <v>332082.15999999968</v>
      </c>
      <c r="L14" s="146">
        <f>'3'!EB13</f>
        <v>350875.09300000034</v>
      </c>
      <c r="M14" s="146">
        <f>'3'!EC13</f>
        <v>493138.72599999979</v>
      </c>
      <c r="N14" s="354">
        <f t="shared" ref="N14:N20" si="5">SUM(B14:M14)</f>
        <v>4083867.9739999999</v>
      </c>
      <c r="O14" s="146">
        <f>'1'!CN19</f>
        <v>3950968.6030028192</v>
      </c>
      <c r="Q14" t="s">
        <v>8</v>
      </c>
      <c r="R14" s="355">
        <f t="shared" ref="R14:R20" si="6">B14/$N14</f>
        <v>5.481047904219051E-2</v>
      </c>
      <c r="S14" s="355">
        <f t="shared" si="4"/>
        <v>7.9252226580427645E-2</v>
      </c>
      <c r="T14" s="355">
        <f t="shared" si="4"/>
        <v>8.0000866600003356E-2</v>
      </c>
      <c r="U14" s="355">
        <f t="shared" si="4"/>
        <v>7.9750659931593595E-2</v>
      </c>
      <c r="V14" s="355">
        <f t="shared" si="4"/>
        <v>8.5257000524180032E-2</v>
      </c>
      <c r="W14" s="355">
        <f t="shared" si="4"/>
        <v>0.10435832639872698</v>
      </c>
      <c r="X14" s="355">
        <f t="shared" si="4"/>
        <v>8.6859853760786712E-2</v>
      </c>
      <c r="Y14" s="355">
        <f t="shared" si="4"/>
        <v>7.1825180898955246E-2</v>
      </c>
      <c r="Z14" s="355">
        <f t="shared" si="4"/>
        <v>6.9899607876011127E-2</v>
      </c>
      <c r="AA14" s="355">
        <f t="shared" si="4"/>
        <v>8.131559641844574E-2</v>
      </c>
      <c r="AB14" s="355">
        <f t="shared" si="4"/>
        <v>8.5917344839218923E-2</v>
      </c>
      <c r="AC14" s="355">
        <f t="shared" si="4"/>
        <v>0.12075285712946013</v>
      </c>
      <c r="AD14" s="356">
        <f t="shared" ref="AD14:AD20" si="7">SUM(R14:AC14)</f>
        <v>1</v>
      </c>
    </row>
    <row r="15" spans="1:30">
      <c r="A15" t="s">
        <v>9</v>
      </c>
      <c r="B15" s="146">
        <f>'3'!DR14</f>
        <v>159800.26199999999</v>
      </c>
      <c r="C15" s="146">
        <f>'3'!DS14</f>
        <v>160653.74200000003</v>
      </c>
      <c r="D15" s="146">
        <f>'3'!DT14</f>
        <v>137812.24599999998</v>
      </c>
      <c r="E15" s="146">
        <f>'3'!DU14</f>
        <v>154354.46999999997</v>
      </c>
      <c r="F15" s="146">
        <f>'3'!DV14</f>
        <v>152661.94000000006</v>
      </c>
      <c r="G15" s="146">
        <f>'3'!DW14</f>
        <v>161689.73899999994</v>
      </c>
      <c r="H15" s="146">
        <f>'3'!DX14</f>
        <v>152741.64000000013</v>
      </c>
      <c r="I15" s="146">
        <f>'3'!DY14</f>
        <v>142278.14099999983</v>
      </c>
      <c r="J15" s="146">
        <f>'3'!DZ14</f>
        <v>161453.22600000002</v>
      </c>
      <c r="K15" s="146">
        <f>'3'!EA14</f>
        <v>181702.24900000007</v>
      </c>
      <c r="L15" s="146">
        <f>'3'!EB14</f>
        <v>209977.55700000003</v>
      </c>
      <c r="M15" s="146">
        <f>'3'!EC14</f>
        <v>360763.18700000015</v>
      </c>
      <c r="N15" s="354">
        <f t="shared" si="5"/>
        <v>2135888.3990000002</v>
      </c>
      <c r="O15" s="146">
        <f>'1'!CN20</f>
        <v>1929016.0550000002</v>
      </c>
      <c r="Q15" t="s">
        <v>9</v>
      </c>
      <c r="R15" s="355">
        <f t="shared" si="6"/>
        <v>7.4816765742450192E-2</v>
      </c>
      <c r="S15" s="355">
        <f t="shared" si="4"/>
        <v>7.5216355908490518E-2</v>
      </c>
      <c r="T15" s="355">
        <f t="shared" si="4"/>
        <v>6.4522212894888228E-2</v>
      </c>
      <c r="U15" s="355">
        <f t="shared" si="4"/>
        <v>7.2267104438727719E-2</v>
      </c>
      <c r="V15" s="355">
        <f t="shared" si="4"/>
        <v>7.1474680077608321E-2</v>
      </c>
      <c r="W15" s="355">
        <f t="shared" si="4"/>
        <v>7.5701398572931677E-2</v>
      </c>
      <c r="X15" s="355">
        <f t="shared" si="4"/>
        <v>7.1511994761295633E-2</v>
      </c>
      <c r="Y15" s="355">
        <f t="shared" si="4"/>
        <v>6.6613096951419801E-2</v>
      </c>
      <c r="Z15" s="355">
        <f t="shared" si="4"/>
        <v>7.5590665727474651E-2</v>
      </c>
      <c r="AA15" s="355">
        <f t="shared" si="4"/>
        <v>8.5071040736524953E-2</v>
      </c>
      <c r="AB15" s="355">
        <f t="shared" si="4"/>
        <v>9.8309236146565171E-2</v>
      </c>
      <c r="AC15" s="355">
        <f t="shared" si="4"/>
        <v>0.16890544804162314</v>
      </c>
      <c r="AD15" s="356">
        <f t="shared" si="7"/>
        <v>0.99999999999999989</v>
      </c>
    </row>
    <row r="16" spans="1:30">
      <c r="A16" t="s">
        <v>10</v>
      </c>
      <c r="B16" s="146">
        <f>'3'!DR15</f>
        <v>43141.928</v>
      </c>
      <c r="C16" s="146">
        <f>'3'!DS15</f>
        <v>51354.168000000005</v>
      </c>
      <c r="D16" s="146">
        <f>'3'!DT15</f>
        <v>49543.020999999993</v>
      </c>
      <c r="E16" s="146">
        <f>'3'!DU15</f>
        <v>49204.991999999998</v>
      </c>
      <c r="F16" s="146">
        <f>'3'!DV15</f>
        <v>52893.782999999996</v>
      </c>
      <c r="G16" s="146">
        <f>'3'!DW15</f>
        <v>4673.5219999999972</v>
      </c>
      <c r="H16" s="146">
        <f>'3'!DX15</f>
        <v>41807.401000000013</v>
      </c>
      <c r="I16" s="146">
        <f>'3'!DY15</f>
        <v>9476.5470000000205</v>
      </c>
      <c r="J16" s="146">
        <f>'3'!DZ15</f>
        <v>19774.375999999989</v>
      </c>
      <c r="K16" s="146">
        <f>'3'!EA15</f>
        <v>18209.011999999988</v>
      </c>
      <c r="L16" s="146">
        <f>'3'!EB15</f>
        <v>20051.940000000002</v>
      </c>
      <c r="M16" s="146">
        <f>'3'!EC15</f>
        <v>11821.706999999995</v>
      </c>
      <c r="N16" s="354">
        <f t="shared" si="5"/>
        <v>371952.397</v>
      </c>
      <c r="O16" s="146">
        <f>'1'!CN21</f>
        <v>381011.60099999997</v>
      </c>
      <c r="Q16" t="s">
        <v>10</v>
      </c>
      <c r="R16" s="355">
        <f t="shared" si="6"/>
        <v>0.11598776711203719</v>
      </c>
      <c r="S16" s="355">
        <f t="shared" si="4"/>
        <v>0.13806650639759152</v>
      </c>
      <c r="T16" s="355">
        <f t="shared" si="4"/>
        <v>0.13319720856644995</v>
      </c>
      <c r="U16" s="355">
        <f t="shared" si="4"/>
        <v>0.13228841216474269</v>
      </c>
      <c r="V16" s="355">
        <f t="shared" si="4"/>
        <v>0.14220578608073869</v>
      </c>
      <c r="W16" s="355">
        <f t="shared" si="4"/>
        <v>1.2564839043099371E-2</v>
      </c>
      <c r="X16" s="355">
        <f t="shared" si="4"/>
        <v>0.11239986981452364</v>
      </c>
      <c r="Y16" s="355">
        <f t="shared" si="4"/>
        <v>2.5477848983992489E-2</v>
      </c>
      <c r="Z16" s="355">
        <f t="shared" si="4"/>
        <v>5.3163727830472858E-2</v>
      </c>
      <c r="AA16" s="355">
        <f t="shared" si="4"/>
        <v>4.8955221546804518E-2</v>
      </c>
      <c r="AB16" s="355">
        <f t="shared" si="4"/>
        <v>5.3909963107456473E-2</v>
      </c>
      <c r="AC16" s="355">
        <f t="shared" si="4"/>
        <v>3.1782849352090602E-2</v>
      </c>
      <c r="AD16" s="356">
        <f t="shared" si="7"/>
        <v>1</v>
      </c>
    </row>
    <row r="17" spans="1:30">
      <c r="A17" t="s">
        <v>11</v>
      </c>
      <c r="B17" s="146">
        <f>'3'!DR16</f>
        <v>321531.875</v>
      </c>
      <c r="C17" s="146">
        <f>'3'!DS16</f>
        <v>243641.05200000003</v>
      </c>
      <c r="D17" s="146">
        <f>'3'!DT16</f>
        <v>311617.13</v>
      </c>
      <c r="E17" s="146">
        <f>'3'!DU16</f>
        <v>448047.40500000003</v>
      </c>
      <c r="F17" s="146">
        <f>'3'!DV16</f>
        <v>276152.98699999996</v>
      </c>
      <c r="G17" s="146">
        <f>'3'!DW16</f>
        <v>297706.32599999988</v>
      </c>
      <c r="H17" s="146">
        <f>'3'!DX16</f>
        <v>327803.56900000013</v>
      </c>
      <c r="I17" s="146">
        <f>'3'!DY16</f>
        <v>295924.26699999999</v>
      </c>
      <c r="J17" s="146">
        <f>'3'!DZ16</f>
        <v>250786.07400000002</v>
      </c>
      <c r="K17" s="146">
        <f>'3'!EA16</f>
        <v>368241.64599999972</v>
      </c>
      <c r="L17" s="146">
        <f>'3'!EB16</f>
        <v>294338.58000000007</v>
      </c>
      <c r="M17" s="146">
        <f>'3'!EC16</f>
        <v>614434.41800000006</v>
      </c>
      <c r="N17" s="354">
        <f t="shared" si="5"/>
        <v>4050225.3289999999</v>
      </c>
      <c r="O17" s="146">
        <f>'1'!CN22</f>
        <v>5407583.1445978032</v>
      </c>
      <c r="Q17" t="s">
        <v>11</v>
      </c>
      <c r="R17" s="355">
        <f t="shared" si="6"/>
        <v>7.9386169628094791E-2</v>
      </c>
      <c r="S17" s="355">
        <f t="shared" si="4"/>
        <v>6.0154937616805376E-2</v>
      </c>
      <c r="T17" s="355">
        <f t="shared" si="4"/>
        <v>7.6938220638933741E-2</v>
      </c>
      <c r="U17" s="355">
        <f t="shared" si="4"/>
        <v>0.11062283418948024</v>
      </c>
      <c r="V17" s="355">
        <f t="shared" si="4"/>
        <v>6.8182129281232379E-2</v>
      </c>
      <c r="W17" s="355">
        <f t="shared" si="4"/>
        <v>7.3503645307927482E-2</v>
      </c>
      <c r="X17" s="355">
        <f t="shared" si="4"/>
        <v>8.0934649895376257E-2</v>
      </c>
      <c r="Y17" s="355">
        <f t="shared" si="4"/>
        <v>7.3063655219662474E-2</v>
      </c>
      <c r="Z17" s="355">
        <f t="shared" si="4"/>
        <v>6.1919042430639053E-2</v>
      </c>
      <c r="AA17" s="355">
        <f t="shared" si="4"/>
        <v>9.091880477941669E-2</v>
      </c>
      <c r="AB17" s="355">
        <f t="shared" si="4"/>
        <v>7.2672149347471543E-2</v>
      </c>
      <c r="AC17" s="355">
        <f t="shared" si="4"/>
        <v>0.15170376166495997</v>
      </c>
      <c r="AD17" s="356">
        <f t="shared" si="7"/>
        <v>1</v>
      </c>
    </row>
    <row r="18" spans="1:30">
      <c r="A18" t="s">
        <v>12</v>
      </c>
      <c r="B18" s="146">
        <f>'3'!DR17</f>
        <v>456505.84</v>
      </c>
      <c r="C18" s="146">
        <f>'3'!DS17</f>
        <v>425000.43099999992</v>
      </c>
      <c r="D18" s="146">
        <f>'3'!DT17</f>
        <v>397740.48900000006</v>
      </c>
      <c r="E18" s="146">
        <f>'3'!DU17</f>
        <v>454898.11800000002</v>
      </c>
      <c r="F18" s="146">
        <f>'3'!DV17</f>
        <v>418943.79799999995</v>
      </c>
      <c r="G18" s="146">
        <f>'3'!DW17</f>
        <v>415298.07899999991</v>
      </c>
      <c r="H18" s="146">
        <f>'3'!DX17</f>
        <v>439503.91000000015</v>
      </c>
      <c r="I18" s="146">
        <f>'3'!DY17</f>
        <v>414533.56999999983</v>
      </c>
      <c r="J18" s="146">
        <f>'3'!DZ17</f>
        <v>422487.91200000001</v>
      </c>
      <c r="K18" s="146">
        <f>'3'!EA17</f>
        <v>467974.06799999997</v>
      </c>
      <c r="L18" s="146">
        <f>'3'!EB17</f>
        <v>443993.65100000054</v>
      </c>
      <c r="M18" s="146">
        <f>'3'!EC17</f>
        <v>450460.79399999976</v>
      </c>
      <c r="N18" s="354">
        <f t="shared" si="5"/>
        <v>5207340.66</v>
      </c>
      <c r="O18" s="146">
        <f>'1'!CN23</f>
        <v>5174055.3789999997</v>
      </c>
      <c r="Q18" t="s">
        <v>12</v>
      </c>
      <c r="R18" s="355">
        <f t="shared" si="6"/>
        <v>8.7665829798045131E-2</v>
      </c>
      <c r="S18" s="355">
        <f t="shared" si="4"/>
        <v>8.1615638144173178E-2</v>
      </c>
      <c r="T18" s="355">
        <f t="shared" si="4"/>
        <v>7.6380731542153427E-2</v>
      </c>
      <c r="U18" s="355">
        <f t="shared" si="4"/>
        <v>8.7357088329996058E-2</v>
      </c>
      <c r="V18" s="355">
        <f t="shared" si="4"/>
        <v>8.0452542930041365E-2</v>
      </c>
      <c r="W18" s="355">
        <f t="shared" si="4"/>
        <v>7.9752431445497152E-2</v>
      </c>
      <c r="X18" s="355">
        <f t="shared" si="4"/>
        <v>8.4400836952349526E-2</v>
      </c>
      <c r="Y18" s="355">
        <f t="shared" si="4"/>
        <v>7.9605617735790654E-2</v>
      </c>
      <c r="Z18" s="355">
        <f t="shared" si="4"/>
        <v>8.11331425357526E-2</v>
      </c>
      <c r="AA18" s="355">
        <f t="shared" si="4"/>
        <v>8.986814932134668E-2</v>
      </c>
      <c r="AB18" s="355">
        <f t="shared" si="4"/>
        <v>8.5263031552846508E-2</v>
      </c>
      <c r="AC18" s="355">
        <f t="shared" si="4"/>
        <v>8.6504959712007737E-2</v>
      </c>
      <c r="AD18" s="356">
        <f t="shared" si="7"/>
        <v>1</v>
      </c>
    </row>
    <row r="19" spans="1:30">
      <c r="A19" t="s">
        <v>13</v>
      </c>
      <c r="B19" s="146">
        <f>'3'!DR18</f>
        <v>65372.525999999998</v>
      </c>
      <c r="C19" s="146">
        <f>'3'!DS18</f>
        <v>187115.83000000002</v>
      </c>
      <c r="D19" s="146">
        <f>'3'!DT18</f>
        <v>45996.530999999988</v>
      </c>
      <c r="E19" s="146">
        <f>'3'!DU18</f>
        <v>89184.071999999986</v>
      </c>
      <c r="F19" s="146">
        <f>'3'!DV18</f>
        <v>81826.278000000049</v>
      </c>
      <c r="G19" s="146">
        <f>'3'!DW18</f>
        <v>90439.352000000014</v>
      </c>
      <c r="H19" s="146">
        <f>'3'!DX18</f>
        <v>124616.81799999997</v>
      </c>
      <c r="I19" s="146">
        <f>'3'!DY18</f>
        <v>125442.995</v>
      </c>
      <c r="J19" s="146">
        <f>'3'!DZ18</f>
        <v>131045.85400000005</v>
      </c>
      <c r="K19" s="146">
        <f>'3'!EA18</f>
        <v>166391.81700000004</v>
      </c>
      <c r="L19" s="146">
        <f>'3'!EB18</f>
        <v>145371.6939999999</v>
      </c>
      <c r="M19" s="146">
        <f>'3'!EC18</f>
        <v>297135.89899999998</v>
      </c>
      <c r="N19" s="354">
        <f t="shared" si="5"/>
        <v>1549939.666</v>
      </c>
      <c r="O19" s="146">
        <f>'1'!CN24</f>
        <v>1581066.0410000002</v>
      </c>
      <c r="Q19" t="s">
        <v>13</v>
      </c>
      <c r="R19" s="355">
        <f t="shared" si="6"/>
        <v>4.2177464990434017E-2</v>
      </c>
      <c r="S19" s="355">
        <f t="shared" si="4"/>
        <v>0.12072458954670047</v>
      </c>
      <c r="T19" s="355">
        <f t="shared" si="4"/>
        <v>2.9676336446505261E-2</v>
      </c>
      <c r="U19" s="355">
        <f t="shared" si="4"/>
        <v>5.7540350735174994E-2</v>
      </c>
      <c r="V19" s="355">
        <f t="shared" si="4"/>
        <v>5.2793202080680252E-2</v>
      </c>
      <c r="W19" s="355">
        <f t="shared" si="4"/>
        <v>5.8350240324774046E-2</v>
      </c>
      <c r="X19" s="355">
        <f t="shared" si="4"/>
        <v>8.0401076721653489E-2</v>
      </c>
      <c r="Y19" s="355">
        <f t="shared" si="4"/>
        <v>8.0934114889605002E-2</v>
      </c>
      <c r="Z19" s="355">
        <f t="shared" si="4"/>
        <v>8.4549003341656562E-2</v>
      </c>
      <c r="AA19" s="355">
        <f t="shared" si="4"/>
        <v>0.10735373811641004</v>
      </c>
      <c r="AB19" s="355">
        <f t="shared" si="4"/>
        <v>9.3791840539940025E-2</v>
      </c>
      <c r="AC19" s="355">
        <f t="shared" si="4"/>
        <v>0.19170804226646587</v>
      </c>
      <c r="AD19" s="356">
        <f t="shared" si="7"/>
        <v>1</v>
      </c>
    </row>
    <row r="20" spans="1:30">
      <c r="A20" t="s">
        <v>198</v>
      </c>
      <c r="B20" s="146">
        <f>'3'!DR19</f>
        <v>33436.46</v>
      </c>
      <c r="C20" s="146">
        <f>'3'!DS19</f>
        <v>36496.756000000001</v>
      </c>
      <c r="D20" s="146">
        <f>'3'!DT19</f>
        <v>53370.572</v>
      </c>
      <c r="E20" s="146">
        <f>'3'!DU19</f>
        <v>31923.318999999989</v>
      </c>
      <c r="F20" s="146">
        <f>'3'!DV19</f>
        <v>31886.981</v>
      </c>
      <c r="G20" s="146">
        <f>'3'!DW19</f>
        <v>42879.583000000013</v>
      </c>
      <c r="H20" s="146">
        <f>'3'!DX19</f>
        <v>51525.65300000002</v>
      </c>
      <c r="I20" s="146">
        <f>'3'!DY19</f>
        <v>33641.510999999999</v>
      </c>
      <c r="J20" s="146">
        <f>'3'!DZ19</f>
        <v>33542.256999999983</v>
      </c>
      <c r="K20" s="146">
        <f>'3'!EA19</f>
        <v>43566.243000000017</v>
      </c>
      <c r="L20" s="146">
        <f>'3'!EB19</f>
        <v>42295.447999999975</v>
      </c>
      <c r="M20" s="146">
        <f>'3'!EC19</f>
        <v>45053.276000000013</v>
      </c>
      <c r="N20" s="354">
        <f t="shared" si="5"/>
        <v>479618.05900000001</v>
      </c>
      <c r="O20" s="146">
        <f>'1'!CN25</f>
        <v>475278.04800000443</v>
      </c>
      <c r="Q20" t="s">
        <v>198</v>
      </c>
      <c r="R20" s="355">
        <f t="shared" si="6"/>
        <v>6.9714764430919812E-2</v>
      </c>
      <c r="S20" s="355">
        <f t="shared" si="4"/>
        <v>7.6095458282149461E-2</v>
      </c>
      <c r="T20" s="355">
        <f t="shared" si="4"/>
        <v>0.11127723612258729</v>
      </c>
      <c r="U20" s="355">
        <f t="shared" si="4"/>
        <v>6.6559876970771009E-2</v>
      </c>
      <c r="V20" s="355">
        <f t="shared" si="4"/>
        <v>6.6484112517539704E-2</v>
      </c>
      <c r="W20" s="355">
        <f t="shared" si="4"/>
        <v>8.9403603962293701E-2</v>
      </c>
      <c r="X20" s="355">
        <f t="shared" si="4"/>
        <v>0.10743059405942848</v>
      </c>
      <c r="Y20" s="355">
        <f t="shared" si="4"/>
        <v>7.0142294204147138E-2</v>
      </c>
      <c r="Z20" s="355">
        <f t="shared" si="4"/>
        <v>6.9935350370116028E-2</v>
      </c>
      <c r="AA20" s="355">
        <f t="shared" si="4"/>
        <v>9.0835284832342017E-2</v>
      </c>
      <c r="AB20" s="355">
        <f t="shared" si="4"/>
        <v>8.8185686936362778E-2</v>
      </c>
      <c r="AC20" s="355">
        <f t="shared" si="4"/>
        <v>9.3935737311342596E-2</v>
      </c>
      <c r="AD20" s="356">
        <f t="shared" si="7"/>
        <v>1</v>
      </c>
    </row>
    <row r="23" spans="1:30">
      <c r="A23" s="353">
        <v>2023</v>
      </c>
      <c r="B23" s="351" t="s">
        <v>156</v>
      </c>
      <c r="C23" s="351" t="s">
        <v>157</v>
      </c>
      <c r="D23" s="351" t="s">
        <v>158</v>
      </c>
      <c r="E23" s="351" t="s">
        <v>159</v>
      </c>
      <c r="F23" s="351" t="s">
        <v>160</v>
      </c>
      <c r="G23" s="351" t="s">
        <v>161</v>
      </c>
      <c r="H23" s="351" t="s">
        <v>162</v>
      </c>
      <c r="I23" s="351" t="s">
        <v>163</v>
      </c>
      <c r="J23" s="351" t="s">
        <v>164</v>
      </c>
      <c r="K23" s="351" t="s">
        <v>165</v>
      </c>
      <c r="L23" s="351" t="s">
        <v>166</v>
      </c>
      <c r="M23" s="351" t="s">
        <v>167</v>
      </c>
      <c r="N23" s="352" t="s">
        <v>168</v>
      </c>
      <c r="Q23" s="353">
        <v>2023</v>
      </c>
      <c r="R23" s="351" t="s">
        <v>156</v>
      </c>
      <c r="S23" s="351" t="s">
        <v>157</v>
      </c>
      <c r="T23" s="351" t="s">
        <v>158</v>
      </c>
      <c r="U23" s="351" t="s">
        <v>159</v>
      </c>
      <c r="V23" s="351" t="s">
        <v>160</v>
      </c>
      <c r="W23" s="351" t="s">
        <v>161</v>
      </c>
      <c r="X23" s="351" t="s">
        <v>162</v>
      </c>
      <c r="Y23" s="351" t="s">
        <v>163</v>
      </c>
      <c r="Z23" s="351" t="s">
        <v>164</v>
      </c>
      <c r="AA23" s="351" t="s">
        <v>165</v>
      </c>
      <c r="AB23" s="351" t="s">
        <v>166</v>
      </c>
      <c r="AC23" s="351" t="s">
        <v>167</v>
      </c>
    </row>
    <row r="24" spans="1:30">
      <c r="A24" s="350" t="s">
        <v>7</v>
      </c>
      <c r="B24" s="146">
        <f>'3'!DF12</f>
        <v>1084456.317</v>
      </c>
      <c r="C24" s="146">
        <f>'3'!DG12</f>
        <v>1410804.2549999997</v>
      </c>
      <c r="D24" s="146">
        <f>'3'!DH12</f>
        <v>1353313.6140000005</v>
      </c>
      <c r="E24" s="146">
        <f>'3'!DI12</f>
        <v>1300627.878</v>
      </c>
      <c r="F24" s="146">
        <f>'3'!DJ12</f>
        <v>1285511.2979999995</v>
      </c>
      <c r="G24" s="146">
        <f>'3'!DK12</f>
        <v>1387062.6690000007</v>
      </c>
      <c r="H24" s="146">
        <f>'3'!DL12</f>
        <v>1233758.4669999992</v>
      </c>
      <c r="I24" s="146">
        <f>'3'!DM12</f>
        <v>1277311.9980000015</v>
      </c>
      <c r="J24" s="146">
        <f>'3'!DN12</f>
        <v>1228203.9879999962</v>
      </c>
      <c r="K24" s="146">
        <f>'3'!DO12</f>
        <v>1416444.3940000031</v>
      </c>
      <c r="L24" s="146">
        <f>'3'!DP12</f>
        <v>1471104.6449999996</v>
      </c>
      <c r="M24" s="146">
        <f>'3'!DQ12</f>
        <v>2516060.8440000024</v>
      </c>
      <c r="N24" s="354">
        <f>SUM(B24:M24)</f>
        <v>16964660.367000002</v>
      </c>
      <c r="O24" s="146">
        <f>'1'!CA18</f>
        <v>17091904.921229731</v>
      </c>
      <c r="Q24" s="350" t="s">
        <v>7</v>
      </c>
      <c r="R24" s="355">
        <f>B24/$N24</f>
        <v>6.3924434296928581E-2</v>
      </c>
      <c r="S24" s="355">
        <f t="shared" ref="S24:AC31" si="8">C24/$N24</f>
        <v>8.3161361588135557E-2</v>
      </c>
      <c r="T24" s="355">
        <f t="shared" si="8"/>
        <v>7.9772514434329214E-2</v>
      </c>
      <c r="U24" s="355">
        <f t="shared" si="8"/>
        <v>7.6666897530704908E-2</v>
      </c>
      <c r="V24" s="355">
        <f t="shared" si="8"/>
        <v>7.57758345991177E-2</v>
      </c>
      <c r="W24" s="355">
        <f t="shared" si="8"/>
        <v>8.1761888478365463E-2</v>
      </c>
      <c r="X24" s="355">
        <f t="shared" si="8"/>
        <v>7.2725208775763703E-2</v>
      </c>
      <c r="Y24" s="355">
        <f t="shared" si="8"/>
        <v>7.5292518115166893E-2</v>
      </c>
      <c r="Z24" s="355">
        <f t="shared" si="8"/>
        <v>7.239779408664869E-2</v>
      </c>
      <c r="AA24" s="355">
        <f t="shared" si="8"/>
        <v>8.3493825597316357E-2</v>
      </c>
      <c r="AB24" s="355">
        <f t="shared" si="8"/>
        <v>8.6715832393651798E-2</v>
      </c>
      <c r="AC24" s="355">
        <f t="shared" si="8"/>
        <v>0.14831189010387114</v>
      </c>
      <c r="AD24" s="356">
        <f>SUM(R24:AC24)</f>
        <v>1</v>
      </c>
    </row>
    <row r="25" spans="1:30">
      <c r="A25" t="s">
        <v>8</v>
      </c>
      <c r="B25" s="146">
        <f>'3'!DF13</f>
        <v>162519.83900000001</v>
      </c>
      <c r="C25" s="146">
        <f>'3'!DG13</f>
        <v>268167.88399999996</v>
      </c>
      <c r="D25" s="146">
        <f>'3'!DH13</f>
        <v>280874.82999999996</v>
      </c>
      <c r="E25" s="146">
        <f>'3'!DI13</f>
        <v>280440.52600000007</v>
      </c>
      <c r="F25" s="146">
        <f>'3'!DJ13</f>
        <v>290130.30200000003</v>
      </c>
      <c r="G25" s="146">
        <f>'3'!DK13</f>
        <v>393562.53499999992</v>
      </c>
      <c r="H25" s="146">
        <f>'3'!DL13</f>
        <v>301259.39899999998</v>
      </c>
      <c r="I25" s="146">
        <f>'3'!DM13</f>
        <v>257755.70200000005</v>
      </c>
      <c r="J25" s="146">
        <f>'3'!DN13</f>
        <v>265406.22500000009</v>
      </c>
      <c r="K25" s="146">
        <f>'3'!DO13</f>
        <v>301408.95200000005</v>
      </c>
      <c r="L25" s="146">
        <f>'3'!DP13</f>
        <v>321440.65899999999</v>
      </c>
      <c r="M25" s="146">
        <f>'3'!DQ13</f>
        <v>478462.86100000003</v>
      </c>
      <c r="N25" s="354">
        <f t="shared" ref="N25:N31" si="9">SUM(B25:M25)</f>
        <v>3601429.7140000002</v>
      </c>
      <c r="O25" s="146">
        <f>'1'!CA19</f>
        <v>3493956.408324074</v>
      </c>
      <c r="Q25" t="s">
        <v>8</v>
      </c>
      <c r="R25" s="355">
        <f t="shared" ref="R25:R31" si="10">B25/$N25</f>
        <v>4.5126478067371217E-2</v>
      </c>
      <c r="S25" s="355">
        <f t="shared" si="8"/>
        <v>7.4461507039145836E-2</v>
      </c>
      <c r="T25" s="355">
        <f t="shared" si="8"/>
        <v>7.7989813020129917E-2</v>
      </c>
      <c r="U25" s="355">
        <f t="shared" si="8"/>
        <v>7.7869220912414577E-2</v>
      </c>
      <c r="V25" s="355">
        <f t="shared" si="8"/>
        <v>8.0559756829951007E-2</v>
      </c>
      <c r="W25" s="355">
        <f t="shared" si="8"/>
        <v>0.10927952681405569</v>
      </c>
      <c r="X25" s="355">
        <f t="shared" si="8"/>
        <v>8.3649945417204927E-2</v>
      </c>
      <c r="Y25" s="355">
        <f t="shared" si="8"/>
        <v>7.1570382450618059E-2</v>
      </c>
      <c r="Z25" s="355">
        <f t="shared" si="8"/>
        <v>7.3694684077346972E-2</v>
      </c>
      <c r="AA25" s="355">
        <f t="shared" si="8"/>
        <v>8.3691471425450692E-2</v>
      </c>
      <c r="AB25" s="355">
        <f t="shared" si="8"/>
        <v>8.9253625511681992E-2</v>
      </c>
      <c r="AC25" s="355">
        <f t="shared" si="8"/>
        <v>0.13285358843462911</v>
      </c>
      <c r="AD25" s="356">
        <f t="shared" ref="AD25:AD31" si="11">SUM(R25:AC25)</f>
        <v>1</v>
      </c>
    </row>
    <row r="26" spans="1:30">
      <c r="A26" t="s">
        <v>9</v>
      </c>
      <c r="B26" s="146">
        <f>'3'!DF14</f>
        <v>152720.13699999999</v>
      </c>
      <c r="C26" s="146">
        <f>'3'!DG14</f>
        <v>153431.13</v>
      </c>
      <c r="D26" s="146">
        <f>'3'!DH14</f>
        <v>173666.40299999999</v>
      </c>
      <c r="E26" s="146">
        <f>'3'!DI14</f>
        <v>152022.00299999997</v>
      </c>
      <c r="F26" s="146">
        <f>'3'!DJ14</f>
        <v>148524.5340000001</v>
      </c>
      <c r="G26" s="146">
        <f>'3'!DK14</f>
        <v>153439.31799999997</v>
      </c>
      <c r="H26" s="146">
        <f>'3'!DL14</f>
        <v>152421.23599999992</v>
      </c>
      <c r="I26" s="146">
        <f>'3'!DM14</f>
        <v>158436.74</v>
      </c>
      <c r="J26" s="146">
        <f>'3'!DN14</f>
        <v>170572.69200000004</v>
      </c>
      <c r="K26" s="146">
        <f>'3'!DO14</f>
        <v>175977.89400000009</v>
      </c>
      <c r="L26" s="146">
        <f>'3'!DP14</f>
        <v>182784.19999999995</v>
      </c>
      <c r="M26" s="146">
        <f>'3'!DQ14</f>
        <v>543953.18099999987</v>
      </c>
      <c r="N26" s="354">
        <f t="shared" si="9"/>
        <v>2317949.4679999999</v>
      </c>
      <c r="O26" s="146">
        <f>'1'!CA20</f>
        <v>2004794.21</v>
      </c>
      <c r="Q26" t="s">
        <v>9</v>
      </c>
      <c r="R26" s="355">
        <f t="shared" si="10"/>
        <v>6.5885878492326133E-2</v>
      </c>
      <c r="S26" s="355">
        <f t="shared" si="8"/>
        <v>6.6192612098824238E-2</v>
      </c>
      <c r="T26" s="355">
        <f t="shared" si="8"/>
        <v>7.4922428377977052E-2</v>
      </c>
      <c r="U26" s="355">
        <f t="shared" si="8"/>
        <v>6.5584692461466546E-2</v>
      </c>
      <c r="V26" s="355">
        <f t="shared" si="8"/>
        <v>6.4075829111215163E-2</v>
      </c>
      <c r="W26" s="355">
        <f t="shared" si="8"/>
        <v>6.6196144531309509E-2</v>
      </c>
      <c r="X26" s="355">
        <f t="shared" si="8"/>
        <v>6.57569278813976E-2</v>
      </c>
      <c r="Y26" s="355">
        <f t="shared" si="8"/>
        <v>6.8352111289425227E-2</v>
      </c>
      <c r="Z26" s="355">
        <f t="shared" si="8"/>
        <v>7.3587752604104675E-2</v>
      </c>
      <c r="AA26" s="355">
        <f t="shared" si="8"/>
        <v>7.5919642092905235E-2</v>
      </c>
      <c r="AB26" s="355">
        <f t="shared" si="8"/>
        <v>7.8855989970183407E-2</v>
      </c>
      <c r="AC26" s="355">
        <f t="shared" si="8"/>
        <v>0.23466999108886522</v>
      </c>
      <c r="AD26" s="356">
        <f t="shared" si="11"/>
        <v>1</v>
      </c>
    </row>
    <row r="27" spans="1:30">
      <c r="A27" t="s">
        <v>10</v>
      </c>
      <c r="B27" s="146">
        <f>'3'!DF15</f>
        <v>4676.8140000000003</v>
      </c>
      <c r="C27" s="146">
        <f>'3'!DG15</f>
        <v>48215.86</v>
      </c>
      <c r="D27" s="146">
        <f>'3'!DH15</f>
        <v>19736.156000000003</v>
      </c>
      <c r="E27" s="146">
        <f>'3'!DI15</f>
        <v>12163.562000000005</v>
      </c>
      <c r="F27" s="146">
        <f>'3'!DJ15</f>
        <v>68411.877999999982</v>
      </c>
      <c r="G27" s="146">
        <f>'3'!DK15</f>
        <v>3473.176999999996</v>
      </c>
      <c r="H27" s="146">
        <f>'3'!DL15</f>
        <v>3128.9040000000095</v>
      </c>
      <c r="I27" s="146">
        <f>'3'!DM15</f>
        <v>8276.6000000000058</v>
      </c>
      <c r="J27" s="146">
        <f>'3'!DN15</f>
        <v>18878.344000000012</v>
      </c>
      <c r="K27" s="146">
        <f>'3'!DO15</f>
        <v>16582.597999999998</v>
      </c>
      <c r="L27" s="146">
        <f>'3'!DP15</f>
        <v>22174.156999999977</v>
      </c>
      <c r="M27" s="146">
        <f>'3'!DQ15</f>
        <v>3023.6110000000044</v>
      </c>
      <c r="N27" s="354">
        <f t="shared" si="9"/>
        <v>228741.66099999999</v>
      </c>
      <c r="O27" s="146">
        <f>'1'!CA21</f>
        <v>230000.72599999997</v>
      </c>
      <c r="Q27" t="s">
        <v>10</v>
      </c>
      <c r="R27" s="355">
        <f t="shared" si="10"/>
        <v>2.0445833870201723E-2</v>
      </c>
      <c r="S27" s="355">
        <f t="shared" si="8"/>
        <v>0.21078740002679269</v>
      </c>
      <c r="T27" s="355">
        <f t="shared" si="8"/>
        <v>8.6281422954255824E-2</v>
      </c>
      <c r="U27" s="355">
        <f t="shared" si="8"/>
        <v>5.3175980041519438E-2</v>
      </c>
      <c r="V27" s="355">
        <f t="shared" si="8"/>
        <v>0.29907922195248893</v>
      </c>
      <c r="W27" s="355">
        <f t="shared" si="8"/>
        <v>1.5183840953222755E-2</v>
      </c>
      <c r="X27" s="355">
        <f t="shared" si="8"/>
        <v>1.367876750706995E-2</v>
      </c>
      <c r="Y27" s="355">
        <f t="shared" si="8"/>
        <v>3.6183176968361729E-2</v>
      </c>
      <c r="Z27" s="355">
        <f t="shared" si="8"/>
        <v>8.2531288430226155E-2</v>
      </c>
      <c r="AA27" s="355">
        <f t="shared" si="8"/>
        <v>7.2494874468888276E-2</v>
      </c>
      <c r="AB27" s="355">
        <f t="shared" si="8"/>
        <v>9.6939739368247305E-2</v>
      </c>
      <c r="AC27" s="355">
        <f t="shared" si="8"/>
        <v>1.3218453458725231E-2</v>
      </c>
      <c r="AD27" s="356">
        <f t="shared" si="11"/>
        <v>1</v>
      </c>
    </row>
    <row r="28" spans="1:30">
      <c r="A28" t="s">
        <v>11</v>
      </c>
      <c r="B28" s="146">
        <f>'3'!DF16</f>
        <v>220148</v>
      </c>
      <c r="C28" s="146">
        <f>'3'!DG16</f>
        <v>441898.65</v>
      </c>
      <c r="D28" s="146">
        <f>'3'!DH16</f>
        <v>366255.53399999999</v>
      </c>
      <c r="E28" s="146">
        <f>'3'!DI16</f>
        <v>317933.56699999992</v>
      </c>
      <c r="F28" s="146">
        <f>'3'!DJ16</f>
        <v>288936.9850000001</v>
      </c>
      <c r="G28" s="146">
        <f>'3'!DK16</f>
        <v>274461.82499999995</v>
      </c>
      <c r="H28" s="146">
        <f>'3'!DL16</f>
        <v>278061.69999999995</v>
      </c>
      <c r="I28" s="146">
        <f>'3'!DM16</f>
        <v>266142.41300000018</v>
      </c>
      <c r="J28" s="146">
        <f>'3'!DN16</f>
        <v>261564.11700000009</v>
      </c>
      <c r="K28" s="146">
        <f>'3'!DO16</f>
        <v>308407.12099999981</v>
      </c>
      <c r="L28" s="146">
        <f>'3'!DP16</f>
        <v>360270.34200000018</v>
      </c>
      <c r="M28" s="146">
        <f>'3'!DQ16</f>
        <v>652034.43299999973</v>
      </c>
      <c r="N28" s="354">
        <f t="shared" si="9"/>
        <v>4036114.6869999999</v>
      </c>
      <c r="O28" s="146">
        <f>'1'!CA22</f>
        <v>4645175.4469999997</v>
      </c>
      <c r="Q28" t="s">
        <v>11</v>
      </c>
      <c r="R28" s="355">
        <f t="shared" si="10"/>
        <v>5.4544535295064575E-2</v>
      </c>
      <c r="S28" s="355">
        <f t="shared" si="8"/>
        <v>0.10948614800845971</v>
      </c>
      <c r="T28" s="355">
        <f t="shared" si="8"/>
        <v>9.0744580469846292E-2</v>
      </c>
      <c r="U28" s="355">
        <f t="shared" si="8"/>
        <v>7.877218356159163E-2</v>
      </c>
      <c r="V28" s="355">
        <f t="shared" si="8"/>
        <v>7.1587902576367032E-2</v>
      </c>
      <c r="W28" s="355">
        <f t="shared" si="8"/>
        <v>6.8001493090377077E-2</v>
      </c>
      <c r="X28" s="355">
        <f t="shared" si="8"/>
        <v>6.8893409024182159E-2</v>
      </c>
      <c r="Y28" s="355">
        <f t="shared" si="8"/>
        <v>6.5940250374258061E-2</v>
      </c>
      <c r="Z28" s="355">
        <f t="shared" si="8"/>
        <v>6.4805917889914536E-2</v>
      </c>
      <c r="AA28" s="355">
        <f t="shared" si="8"/>
        <v>7.6411882445599058E-2</v>
      </c>
      <c r="AB28" s="355">
        <f t="shared" si="8"/>
        <v>8.9261671171139395E-2</v>
      </c>
      <c r="AC28" s="355">
        <f t="shared" si="8"/>
        <v>0.16155002609320049</v>
      </c>
      <c r="AD28" s="356">
        <f t="shared" si="11"/>
        <v>1</v>
      </c>
    </row>
    <row r="29" spans="1:30">
      <c r="A29" t="s">
        <v>12</v>
      </c>
      <c r="B29" s="146">
        <f>'3'!DF17</f>
        <v>432302.489</v>
      </c>
      <c r="C29" s="146">
        <f>'3'!DG17</f>
        <v>407204.36799999996</v>
      </c>
      <c r="D29" s="146">
        <f>'3'!DH17</f>
        <v>417870.09900000005</v>
      </c>
      <c r="E29" s="146">
        <f>'3'!DI17</f>
        <v>418779.90299999993</v>
      </c>
      <c r="F29" s="146">
        <f>'3'!DJ17</f>
        <v>377391.91599999997</v>
      </c>
      <c r="G29" s="146">
        <f>'3'!DK17</f>
        <v>394419.79700000025</v>
      </c>
      <c r="H29" s="146">
        <f>'3'!DL17</f>
        <v>353261.48999999976</v>
      </c>
      <c r="I29" s="146">
        <f>'3'!DM17</f>
        <v>420584.63200000022</v>
      </c>
      <c r="J29" s="146">
        <f>'3'!DN17</f>
        <v>361264.73399999971</v>
      </c>
      <c r="K29" s="146">
        <f>'3'!DO17</f>
        <v>447415.49100000039</v>
      </c>
      <c r="L29" s="146">
        <f>'3'!DP17</f>
        <v>416534.52100000018</v>
      </c>
      <c r="M29" s="146">
        <f>'3'!DQ17</f>
        <v>385554.75399999972</v>
      </c>
      <c r="N29" s="354">
        <f t="shared" si="9"/>
        <v>4832584.1940000001</v>
      </c>
      <c r="O29" s="146">
        <f>'1'!CA23</f>
        <v>4856564.7239999995</v>
      </c>
      <c r="Q29" t="s">
        <v>12</v>
      </c>
      <c r="R29" s="355">
        <f t="shared" si="10"/>
        <v>8.9455759412683286E-2</v>
      </c>
      <c r="S29" s="355">
        <f t="shared" si="8"/>
        <v>8.4262239756851709E-2</v>
      </c>
      <c r="T29" s="355">
        <f t="shared" si="8"/>
        <v>8.6469284801869717E-2</v>
      </c>
      <c r="U29" s="355">
        <f t="shared" si="8"/>
        <v>8.665754929214585E-2</v>
      </c>
      <c r="V29" s="355">
        <f t="shared" si="8"/>
        <v>7.8093190071796187E-2</v>
      </c>
      <c r="W29" s="355">
        <f t="shared" si="8"/>
        <v>8.1616746065117859E-2</v>
      </c>
      <c r="X29" s="355">
        <f t="shared" si="8"/>
        <v>7.309991421124111E-2</v>
      </c>
      <c r="Y29" s="355">
        <f t="shared" si="8"/>
        <v>8.703099938169441E-2</v>
      </c>
      <c r="Z29" s="355">
        <f t="shared" si="8"/>
        <v>7.4756014483624678E-2</v>
      </c>
      <c r="AA29" s="355">
        <f t="shared" si="8"/>
        <v>9.2583072128468821E-2</v>
      </c>
      <c r="AB29" s="355">
        <f t="shared" si="8"/>
        <v>8.619291548342968E-2</v>
      </c>
      <c r="AC29" s="355">
        <f t="shared" si="8"/>
        <v>7.9782314911076693E-2</v>
      </c>
      <c r="AD29" s="356">
        <f t="shared" si="11"/>
        <v>1</v>
      </c>
    </row>
    <row r="30" spans="1:30">
      <c r="A30" t="s">
        <v>13</v>
      </c>
      <c r="B30" s="146">
        <f>'3'!DF18</f>
        <v>80587.486999999994</v>
      </c>
      <c r="C30" s="146">
        <f>'3'!DG18</f>
        <v>49589.114000000001</v>
      </c>
      <c r="D30" s="146">
        <f>'3'!DH18</f>
        <v>62456.088000000018</v>
      </c>
      <c r="E30" s="146">
        <f>'3'!DI18</f>
        <v>85455.892999999982</v>
      </c>
      <c r="F30" s="146">
        <f>'3'!DJ18</f>
        <v>81711.911000000022</v>
      </c>
      <c r="G30" s="146">
        <f>'3'!DK18</f>
        <v>124719.62299999996</v>
      </c>
      <c r="H30" s="146">
        <f>'3'!DL18</f>
        <v>106856.36599999998</v>
      </c>
      <c r="I30" s="146">
        <f>'3'!DM18</f>
        <v>134463.66600000008</v>
      </c>
      <c r="J30" s="146">
        <f>'3'!DN18</f>
        <v>116044.13099999994</v>
      </c>
      <c r="K30" s="146">
        <f>'3'!DO18</f>
        <v>130088.89100000006</v>
      </c>
      <c r="L30" s="146">
        <f>'3'!DP18</f>
        <v>116129.07799999986</v>
      </c>
      <c r="M30" s="146">
        <f>'3'!DQ18</f>
        <v>368167.37600000016</v>
      </c>
      <c r="N30" s="354">
        <f t="shared" si="9"/>
        <v>1456269.6240000001</v>
      </c>
      <c r="O30" s="146">
        <f>'1'!CA24</f>
        <v>1413818.2709056607</v>
      </c>
      <c r="Q30" t="s">
        <v>13</v>
      </c>
      <c r="R30" s="355">
        <f t="shared" si="10"/>
        <v>5.5338301144156797E-2</v>
      </c>
      <c r="S30" s="355">
        <f t="shared" si="8"/>
        <v>3.405215159524607E-2</v>
      </c>
      <c r="T30" s="355">
        <f t="shared" si="8"/>
        <v>4.2887722830095933E-2</v>
      </c>
      <c r="U30" s="355">
        <f t="shared" si="8"/>
        <v>5.8681367510279109E-2</v>
      </c>
      <c r="V30" s="355">
        <f t="shared" si="8"/>
        <v>5.6110427391569365E-2</v>
      </c>
      <c r="W30" s="355">
        <f t="shared" si="8"/>
        <v>8.5643222205944988E-2</v>
      </c>
      <c r="X30" s="355">
        <f t="shared" si="8"/>
        <v>7.3376773256104103E-2</v>
      </c>
      <c r="Y30" s="355">
        <f t="shared" si="8"/>
        <v>9.2334320364839309E-2</v>
      </c>
      <c r="Z30" s="355">
        <f t="shared" si="8"/>
        <v>7.9685883086166698E-2</v>
      </c>
      <c r="AA30" s="355">
        <f t="shared" si="8"/>
        <v>8.9330223508116008E-2</v>
      </c>
      <c r="AB30" s="355">
        <f t="shared" si="8"/>
        <v>7.9744215003965405E-2</v>
      </c>
      <c r="AC30" s="355">
        <f t="shared" si="8"/>
        <v>0.25281539210351622</v>
      </c>
      <c r="AD30" s="356">
        <f t="shared" si="11"/>
        <v>1</v>
      </c>
    </row>
    <row r="31" spans="1:30">
      <c r="A31" t="s">
        <v>198</v>
      </c>
      <c r="B31" s="146">
        <f>'3'!DF19</f>
        <v>31501.550999999999</v>
      </c>
      <c r="C31" s="146">
        <f>'3'!DG19</f>
        <v>42297.249000000003</v>
      </c>
      <c r="D31" s="146">
        <f>'3'!DH19</f>
        <v>32454.504000000001</v>
      </c>
      <c r="E31" s="146">
        <f>'3'!DI19</f>
        <v>33832.423999999999</v>
      </c>
      <c r="F31" s="146">
        <f>'3'!DJ19</f>
        <v>30403.771999999997</v>
      </c>
      <c r="G31" s="146">
        <f>'3'!DK19</f>
        <v>42986.394</v>
      </c>
      <c r="H31" s="146">
        <f>'3'!DL19</f>
        <v>38769.372000000003</v>
      </c>
      <c r="I31" s="146">
        <f>'3'!DM19</f>
        <v>31652.244999999995</v>
      </c>
      <c r="J31" s="146">
        <f>'3'!DN19</f>
        <v>34473.744999999995</v>
      </c>
      <c r="K31" s="146">
        <f>'3'!DO19</f>
        <v>36563.446999999986</v>
      </c>
      <c r="L31" s="146">
        <f>'3'!DP19</f>
        <v>51771.688000000024</v>
      </c>
      <c r="M31" s="146">
        <f>'3'!DQ19</f>
        <v>84864.627999999968</v>
      </c>
      <c r="N31" s="354">
        <f t="shared" si="9"/>
        <v>491571.01899999997</v>
      </c>
      <c r="O31" s="146">
        <f>'1'!CA25</f>
        <v>447595.1349999989</v>
      </c>
      <c r="Q31" t="s">
        <v>198</v>
      </c>
      <c r="R31" s="355">
        <f t="shared" si="10"/>
        <v>6.4083417822481517E-2</v>
      </c>
      <c r="S31" s="355">
        <f t="shared" si="8"/>
        <v>8.6045042049153031E-2</v>
      </c>
      <c r="T31" s="355">
        <f t="shared" si="8"/>
        <v>6.602200444204788E-2</v>
      </c>
      <c r="U31" s="355">
        <f t="shared" si="8"/>
        <v>6.882509890193507E-2</v>
      </c>
      <c r="V31" s="355">
        <f t="shared" si="8"/>
        <v>6.1850212532565917E-2</v>
      </c>
      <c r="W31" s="355">
        <f t="shared" si="8"/>
        <v>8.7446965623496214E-2</v>
      </c>
      <c r="X31" s="355">
        <f t="shared" si="8"/>
        <v>7.8868302852491814E-2</v>
      </c>
      <c r="Y31" s="355">
        <f t="shared" si="8"/>
        <v>6.4389973730326844E-2</v>
      </c>
      <c r="Z31" s="355">
        <f t="shared" si="8"/>
        <v>7.0129734397543886E-2</v>
      </c>
      <c r="AA31" s="355">
        <f t="shared" si="8"/>
        <v>7.4380802746225341E-2</v>
      </c>
      <c r="AB31" s="355">
        <f t="shared" si="8"/>
        <v>0.10531883695120771</v>
      </c>
      <c r="AC31" s="355">
        <f t="shared" si="8"/>
        <v>0.1726396079505248</v>
      </c>
      <c r="AD31" s="356">
        <f t="shared" si="11"/>
        <v>1</v>
      </c>
    </row>
    <row r="32" spans="1:30">
      <c r="AD32" s="356"/>
    </row>
    <row r="33" spans="17:30" ht="15" thickBot="1"/>
    <row r="34" spans="17:30" ht="15" thickTop="1">
      <c r="Q34" s="357" t="s">
        <v>223</v>
      </c>
      <c r="R34" s="358" t="s">
        <v>156</v>
      </c>
      <c r="S34" s="358" t="s">
        <v>157</v>
      </c>
      <c r="T34" s="358" t="s">
        <v>158</v>
      </c>
      <c r="U34" s="358" t="s">
        <v>159</v>
      </c>
      <c r="V34" s="358" t="s">
        <v>160</v>
      </c>
      <c r="W34" s="358" t="s">
        <v>161</v>
      </c>
      <c r="X34" s="358" t="s">
        <v>162</v>
      </c>
      <c r="Y34" s="358" t="s">
        <v>163</v>
      </c>
      <c r="Z34" s="358" t="s">
        <v>164</v>
      </c>
      <c r="AA34" s="358" t="s">
        <v>165</v>
      </c>
      <c r="AB34" s="358" t="s">
        <v>166</v>
      </c>
      <c r="AC34" s="358" t="s">
        <v>167</v>
      </c>
      <c r="AD34" s="359"/>
    </row>
    <row r="35" spans="17:30">
      <c r="Q35" s="360" t="s">
        <v>7</v>
      </c>
      <c r="R35" s="356">
        <f t="shared" ref="R35:AC35" si="12">AVERAGE(R2,R13,R24)</f>
        <v>6.9747451796378632E-2</v>
      </c>
      <c r="S35" s="356">
        <f t="shared" si="12"/>
        <v>8.0767889811419052E-2</v>
      </c>
      <c r="T35" s="356">
        <f t="shared" si="12"/>
        <v>7.8821981532767427E-2</v>
      </c>
      <c r="U35" s="356">
        <f t="shared" si="12"/>
        <v>8.2748749680676761E-2</v>
      </c>
      <c r="V35" s="356">
        <f t="shared" si="12"/>
        <v>7.4823107266439329E-2</v>
      </c>
      <c r="W35" s="356">
        <f t="shared" si="12"/>
        <v>8.0396146097045276E-2</v>
      </c>
      <c r="X35" s="356">
        <f t="shared" si="12"/>
        <v>7.9231104193491678E-2</v>
      </c>
      <c r="Y35" s="356">
        <f t="shared" si="12"/>
        <v>7.4328302433580642E-2</v>
      </c>
      <c r="Z35" s="356">
        <f t="shared" si="12"/>
        <v>7.4743537571683297E-2</v>
      </c>
      <c r="AA35" s="356">
        <f t="shared" si="12"/>
        <v>8.5602362715742883E-2</v>
      </c>
      <c r="AB35" s="356">
        <f t="shared" si="12"/>
        <v>8.3593657018223896E-2</v>
      </c>
      <c r="AC35" s="356">
        <f t="shared" si="12"/>
        <v>0.13519570988255114</v>
      </c>
      <c r="AD35" s="361">
        <f t="shared" ref="AD35:AD42" si="13">SUM(R35:AC35)</f>
        <v>0.99999999999999989</v>
      </c>
    </row>
    <row r="36" spans="17:30">
      <c r="Q36" s="362" t="s">
        <v>8</v>
      </c>
      <c r="R36" s="356">
        <f t="shared" ref="R36:AC36" si="14">AVERAGE(R3,R14,R25)</f>
        <v>5.0737474329321554E-2</v>
      </c>
      <c r="S36" s="356">
        <f t="shared" si="14"/>
        <v>7.7175131957382292E-2</v>
      </c>
      <c r="T36" s="356">
        <f t="shared" si="14"/>
        <v>7.8565681364234335E-2</v>
      </c>
      <c r="U36" s="356">
        <f t="shared" si="14"/>
        <v>8.1849228553575681E-2</v>
      </c>
      <c r="V36" s="356">
        <f t="shared" si="14"/>
        <v>8.178757815128776E-2</v>
      </c>
      <c r="W36" s="356">
        <f t="shared" si="14"/>
        <v>0.10539424927247104</v>
      </c>
      <c r="X36" s="356">
        <f t="shared" si="14"/>
        <v>8.6605738617507547E-2</v>
      </c>
      <c r="Y36" s="356">
        <f t="shared" si="14"/>
        <v>7.2319946140007516E-2</v>
      </c>
      <c r="Z36" s="356">
        <f t="shared" si="14"/>
        <v>7.158146485363226E-2</v>
      </c>
      <c r="AA36" s="356">
        <f t="shared" si="14"/>
        <v>8.2884294220043689E-2</v>
      </c>
      <c r="AB36" s="356">
        <f t="shared" si="14"/>
        <v>8.5889246604110736E-2</v>
      </c>
      <c r="AC36" s="356">
        <f t="shared" si="14"/>
        <v>0.12520996593642555</v>
      </c>
      <c r="AD36" s="361">
        <f t="shared" si="13"/>
        <v>0.99999999999999989</v>
      </c>
    </row>
    <row r="37" spans="17:30">
      <c r="Q37" s="362" t="s">
        <v>9</v>
      </c>
      <c r="R37" s="356">
        <f t="shared" ref="R37:AC37" si="15">AVERAGE(R4,R15,R26)</f>
        <v>6.735574718461651E-2</v>
      </c>
      <c r="S37" s="356">
        <f t="shared" si="15"/>
        <v>8.6122162530632304E-2</v>
      </c>
      <c r="T37" s="356">
        <f t="shared" si="15"/>
        <v>7.0597749330994802E-2</v>
      </c>
      <c r="U37" s="356">
        <f t="shared" si="15"/>
        <v>6.8576013749933259E-2</v>
      </c>
      <c r="V37" s="356">
        <f t="shared" si="15"/>
        <v>6.7563542288787984E-2</v>
      </c>
      <c r="W37" s="356">
        <f t="shared" si="15"/>
        <v>7.3333399521827755E-2</v>
      </c>
      <c r="X37" s="356">
        <f t="shared" si="15"/>
        <v>6.9904131068684386E-2</v>
      </c>
      <c r="Y37" s="356">
        <f t="shared" si="15"/>
        <v>6.6330725496486581E-2</v>
      </c>
      <c r="Z37" s="356">
        <f t="shared" si="15"/>
        <v>7.6468789843550156E-2</v>
      </c>
      <c r="AA37" s="356">
        <f t="shared" si="15"/>
        <v>7.8997644326749494E-2</v>
      </c>
      <c r="AB37" s="356">
        <f t="shared" si="15"/>
        <v>8.7959255729373867E-2</v>
      </c>
      <c r="AC37" s="356">
        <f t="shared" si="15"/>
        <v>0.1867908389283629</v>
      </c>
      <c r="AD37" s="361">
        <f t="shared" si="13"/>
        <v>1</v>
      </c>
    </row>
    <row r="38" spans="17:30">
      <c r="Q38" s="362" t="s">
        <v>10</v>
      </c>
      <c r="R38" s="356">
        <f t="shared" ref="R38:AC38" si="16">AVERAGE(R5,R16,R27)</f>
        <v>0.12300242900408476</v>
      </c>
      <c r="S38" s="356">
        <f t="shared" si="16"/>
        <v>0.15471711806998609</v>
      </c>
      <c r="T38" s="356">
        <f t="shared" si="16"/>
        <v>0.11376173714910326</v>
      </c>
      <c r="U38" s="356">
        <f t="shared" si="16"/>
        <v>6.5002755803319073E-2</v>
      </c>
      <c r="V38" s="356">
        <f t="shared" si="16"/>
        <v>0.20826020695664668</v>
      </c>
      <c r="W38" s="356">
        <f t="shared" si="16"/>
        <v>1.2719350777830591E-2</v>
      </c>
      <c r="X38" s="356">
        <f t="shared" si="16"/>
        <v>9.5667457930486879E-2</v>
      </c>
      <c r="Y38" s="356">
        <f t="shared" si="16"/>
        <v>2.6747606505932036E-2</v>
      </c>
      <c r="Z38" s="356">
        <f t="shared" si="16"/>
        <v>6.3532542359044944E-2</v>
      </c>
      <c r="AA38" s="356">
        <f t="shared" si="16"/>
        <v>5.3643961415340773E-2</v>
      </c>
      <c r="AB38" s="356">
        <f t="shared" si="16"/>
        <v>5.9098501090460109E-2</v>
      </c>
      <c r="AC38" s="356">
        <f t="shared" si="16"/>
        <v>2.3846332937764784E-2</v>
      </c>
      <c r="AD38" s="361">
        <f t="shared" si="13"/>
        <v>1</v>
      </c>
    </row>
    <row r="39" spans="17:30">
      <c r="Q39" s="362" t="s">
        <v>11</v>
      </c>
      <c r="R39" s="356">
        <f t="shared" ref="R39:AC39" si="17">AVERAGE(R6,R17,R28)</f>
        <v>7.0001049628009418E-2</v>
      </c>
      <c r="S39" s="356">
        <f t="shared" si="17"/>
        <v>8.0414574516734547E-2</v>
      </c>
      <c r="T39" s="356">
        <f t="shared" si="17"/>
        <v>8.6115917610589732E-2</v>
      </c>
      <c r="U39" s="356">
        <f t="shared" si="17"/>
        <v>9.52484790631732E-2</v>
      </c>
      <c r="V39" s="356">
        <f t="shared" si="17"/>
        <v>6.890851176008668E-2</v>
      </c>
      <c r="W39" s="356">
        <f t="shared" si="17"/>
        <v>6.7038271217014875E-2</v>
      </c>
      <c r="X39" s="356">
        <f t="shared" si="17"/>
        <v>7.4634171045452793E-2</v>
      </c>
      <c r="Y39" s="356">
        <f t="shared" si="17"/>
        <v>7.224491641585544E-2</v>
      </c>
      <c r="Z39" s="356">
        <f t="shared" si="17"/>
        <v>6.716460873350566E-2</v>
      </c>
      <c r="AA39" s="356">
        <f t="shared" si="17"/>
        <v>8.6518340479639036E-2</v>
      </c>
      <c r="AB39" s="356">
        <f t="shared" si="17"/>
        <v>7.8542565292120156E-2</v>
      </c>
      <c r="AC39" s="356">
        <f t="shared" si="17"/>
        <v>0.15316859423781845</v>
      </c>
      <c r="AD39" s="361">
        <f t="shared" si="13"/>
        <v>1</v>
      </c>
    </row>
    <row r="40" spans="17:30">
      <c r="Q40" s="362" t="s">
        <v>12</v>
      </c>
      <c r="R40" s="356">
        <f t="shared" ref="R40:AC40" si="18">AVERAGE(R7,R18,R29)</f>
        <v>8.7150460664877069E-2</v>
      </c>
      <c r="S40" s="356">
        <f t="shared" si="18"/>
        <v>8.2434171690635841E-2</v>
      </c>
      <c r="T40" s="356">
        <f t="shared" si="18"/>
        <v>8.154595939467825E-2</v>
      </c>
      <c r="U40" s="356">
        <f t="shared" si="18"/>
        <v>8.9171260543398426E-2</v>
      </c>
      <c r="V40" s="356">
        <f t="shared" si="18"/>
        <v>7.5854166902622547E-2</v>
      </c>
      <c r="W40" s="356">
        <f t="shared" si="18"/>
        <v>8.0304964620555752E-2</v>
      </c>
      <c r="X40" s="356">
        <f t="shared" si="18"/>
        <v>7.9410845352289386E-2</v>
      </c>
      <c r="Y40" s="356">
        <f t="shared" si="18"/>
        <v>8.1923111568465545E-2</v>
      </c>
      <c r="Z40" s="356">
        <f t="shared" si="18"/>
        <v>7.9933331833684465E-2</v>
      </c>
      <c r="AA40" s="356">
        <f t="shared" si="18"/>
        <v>8.9321454841925774E-2</v>
      </c>
      <c r="AB40" s="356">
        <f t="shared" si="18"/>
        <v>8.5446169781604298E-2</v>
      </c>
      <c r="AC40" s="356">
        <f t="shared" si="18"/>
        <v>8.7504102805262621E-2</v>
      </c>
      <c r="AD40" s="361">
        <f t="shared" si="13"/>
        <v>0.99999999999999989</v>
      </c>
    </row>
    <row r="41" spans="17:30">
      <c r="Q41" s="362" t="s">
        <v>13</v>
      </c>
      <c r="R41" s="356">
        <f t="shared" ref="R41:AC41" si="19">AVERAGE(R8,R19,R30)</f>
        <v>4.931742541515715E-2</v>
      </c>
      <c r="S41" s="356">
        <f t="shared" si="19"/>
        <v>6.5918676972599802E-2</v>
      </c>
      <c r="T41" s="356">
        <f t="shared" si="19"/>
        <v>5.1042064848274615E-2</v>
      </c>
      <c r="U41" s="356">
        <f t="shared" si="19"/>
        <v>6.0779539449017511E-2</v>
      </c>
      <c r="V41" s="356">
        <f t="shared" si="19"/>
        <v>5.6177937222646225E-2</v>
      </c>
      <c r="W41" s="356">
        <f t="shared" si="19"/>
        <v>7.7386728013411774E-2</v>
      </c>
      <c r="X41" s="356">
        <f t="shared" si="19"/>
        <v>7.7811866030762691E-2</v>
      </c>
      <c r="Y41" s="356">
        <f t="shared" si="19"/>
        <v>8.309880119281382E-2</v>
      </c>
      <c r="Z41" s="356">
        <f t="shared" si="19"/>
        <v>8.5730923952293023E-2</v>
      </c>
      <c r="AA41" s="356">
        <f t="shared" si="19"/>
        <v>9.5808401116102782E-2</v>
      </c>
      <c r="AB41" s="356">
        <f t="shared" si="19"/>
        <v>8.5233377433724791E-2</v>
      </c>
      <c r="AC41" s="356">
        <f t="shared" si="19"/>
        <v>0.21169425835319586</v>
      </c>
      <c r="AD41" s="361">
        <f t="shared" si="13"/>
        <v>1</v>
      </c>
    </row>
    <row r="42" spans="17:30" ht="15" thickBot="1">
      <c r="Q42" s="363" t="s">
        <v>198</v>
      </c>
      <c r="R42" s="364">
        <f t="shared" ref="R42:AC42" si="20">AVERAGE(R9,R20,R31)</f>
        <v>7.11973763743209E-2</v>
      </c>
      <c r="S42" s="364">
        <f t="shared" si="20"/>
        <v>7.6246827066174958E-2</v>
      </c>
      <c r="T42" s="364">
        <f t="shared" si="20"/>
        <v>8.9152003458151927E-2</v>
      </c>
      <c r="U42" s="364">
        <f t="shared" si="20"/>
        <v>6.8390974009353553E-2</v>
      </c>
      <c r="V42" s="364">
        <f t="shared" si="20"/>
        <v>6.8646612919803202E-2</v>
      </c>
      <c r="W42" s="364">
        <f t="shared" si="20"/>
        <v>8.0103777460411668E-2</v>
      </c>
      <c r="X42" s="364">
        <f t="shared" si="20"/>
        <v>8.5024326616786619E-2</v>
      </c>
      <c r="Y42" s="364">
        <f t="shared" si="20"/>
        <v>7.130679120355464E-2</v>
      </c>
      <c r="Z42" s="364">
        <f t="shared" si="20"/>
        <v>7.4996992923465386E-2</v>
      </c>
      <c r="AA42" s="364">
        <f t="shared" si="20"/>
        <v>8.4533974764242681E-2</v>
      </c>
      <c r="AB42" s="364">
        <f t="shared" si="20"/>
        <v>8.3461139943075746E-2</v>
      </c>
      <c r="AC42" s="364">
        <f t="shared" si="20"/>
        <v>0.14693920326065874</v>
      </c>
      <c r="AD42" s="365">
        <f t="shared" si="13"/>
        <v>1</v>
      </c>
    </row>
    <row r="43" spans="17:30" ht="15" thickTop="1"/>
  </sheetData>
  <conditionalFormatting sqref="AD1:AD1048576">
    <cfRule type="cellIs" dxfId="0" priority="8"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a305ec-9cbc-4545-996f-db38dd6e3512" xsi:nil="true"/>
    <PublishingExpirationDate xmlns="http://schemas.microsoft.com/sharepoint/v3" xsi:nil="true"/>
    <lcf76f155ced4ddcb4097134ff3c332f xmlns="594c01c2-5651-43c1-91c6-5886a185086b">
      <Terms xmlns="http://schemas.microsoft.com/office/infopath/2007/PartnerControls"/>
    </lcf76f155ced4ddcb4097134ff3c332f>
    <PublishingStartDate xmlns="http://schemas.microsoft.com/sharepoint/v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103627C2F4969444B9DFD665D750DD18" ma:contentTypeVersion="18" ma:contentTypeDescription="Izveidot jaunu dokumentu." ma:contentTypeScope="" ma:versionID="e0bde7ebd604bbc346d14db71d13168f">
  <xsd:schema xmlns:xsd="http://www.w3.org/2001/XMLSchema" xmlns:xs="http://www.w3.org/2001/XMLSchema" xmlns:p="http://schemas.microsoft.com/office/2006/metadata/properties" xmlns:ns1="http://schemas.microsoft.com/sharepoint/v3" xmlns:ns2="594c01c2-5651-43c1-91c6-5886a185086b" xmlns:ns3="7ba305ec-9cbc-4545-996f-db38dd6e3512" targetNamespace="http://schemas.microsoft.com/office/2006/metadata/properties" ma:root="true" ma:fieldsID="b0c4a7d0493d2048108d8eb158248e84" ns1:_="" ns2:_="" ns3:_="">
    <xsd:import namespace="http://schemas.microsoft.com/sharepoint/v3"/>
    <xsd:import namespace="594c01c2-5651-43c1-91c6-5886a185086b"/>
    <xsd:import namespace="7ba305ec-9cbc-4545-996f-db38dd6e3512"/>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ākuma datuma plānošana" ma:description="Sākuma datuma plānošana ir vietnes kolonna, ko izveido publicēšanas līdzeklis. To izmanto, lai norādītu datumu un laiku, kad lapa tiks pirmo reizi parādīta vietnes apmeklētājiem." ma:internalName="PublishingStartDate">
      <xsd:simpleType>
        <xsd:restriction base="dms:Unknown"/>
      </xsd:simpleType>
    </xsd:element>
    <xsd:element name="PublishingExpirationDate" ma:index="9" nillable="true" ma:displayName="Beigu datuma plānošana" ma:description="Beigu datuma plānošana ir vietnes kolonna, ko izveido publicēšanas līdzeklis. To izmanto, lai norādītu datumu un laiku, kad tiks pārtraukta šīs lapas rādīšana vietnes apmeklētājiem." ma:internalName="PublishingExpirationDate">
      <xsd:simpleType>
        <xsd:restriction base="dms:Unknown"/>
      </xsd:simpleType>
    </xsd:element>
    <xsd:element name="_ip_UnifiedCompliancePolicyProperties" ma:index="24" nillable="true" ma:displayName="Vienotās atbilstības politikas rekvizīti" ma:hidden="true" ma:internalName="_ip_UnifiedCompliancePolicyProperties">
      <xsd:simpleType>
        <xsd:restriction base="dms:Note"/>
      </xsd:simpleType>
    </xsd:element>
    <xsd:element name="_ip_UnifiedCompliancePolicyUIAction" ma:index="25"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4c01c2-5651-43c1-91c6-5886a18508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a305ec-9cbc-4545-996f-db38dd6e35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703e71-4dcb-4415-a4b8-58599872ad86}" ma:internalName="TaxCatchAll" ma:showField="CatchAllData" ma:web="7ba305ec-9cbc-4545-996f-db38dd6e3512">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7C8D5-01F4-47BE-B014-BAB9FAACB4E4}">
  <ds:schemaRefs>
    <ds:schemaRef ds:uri="http://schemas.microsoft.com/office/2006/metadata/properties"/>
    <ds:schemaRef ds:uri="http://schemas.microsoft.com/office/2006/documentManagement/types"/>
    <ds:schemaRef ds:uri="http://purl.org/dc/elements/1.1/"/>
    <ds:schemaRef ds:uri="http://www.w3.org/XML/1998/namespace"/>
    <ds:schemaRef ds:uri="http://purl.org/dc/dcmitype/"/>
    <ds:schemaRef ds:uri="9c70c90a-7b91-4514-9304-0bf9c3ca33df"/>
    <ds:schemaRef ds:uri="http://schemas.openxmlformats.org/package/2006/metadata/core-properties"/>
    <ds:schemaRef ds:uri="18cde31a-aed2-49ce-b570-e812b29b6342"/>
    <ds:schemaRef ds:uri="http://schemas.microsoft.com/office/infopath/2007/PartnerControls"/>
    <ds:schemaRef ds:uri="http://purl.org/dc/terms/"/>
    <ds:schemaRef ds:uri="7ba305ec-9cbc-4545-996f-db38dd6e3512"/>
    <ds:schemaRef ds:uri="http://schemas.microsoft.com/sharepoint/v3"/>
    <ds:schemaRef ds:uri="594c01c2-5651-43c1-91c6-5886a185086b"/>
  </ds:schemaRefs>
</ds:datastoreItem>
</file>

<file path=customXml/itemProps2.xml><?xml version="1.0" encoding="utf-8"?>
<ds:datastoreItem xmlns:ds="http://schemas.openxmlformats.org/officeDocument/2006/customXml" ds:itemID="{E0C671D9-751B-482A-BBC5-7E235A868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4c01c2-5651-43c1-91c6-5886a185086b"/>
    <ds:schemaRef ds:uri="7ba305ec-9cbc-4545-996f-db38dd6e3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28C98-3F96-46A3-8C84-AD223F0A7106}">
  <ds:schemaRefs>
    <ds:schemaRef ds:uri="http://schemas.microsoft.com/sharepoint/v3/contenttype/forms"/>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Saturs_Content</vt:lpstr>
      <vt:lpstr>1</vt:lpstr>
      <vt:lpstr>2</vt:lpstr>
      <vt:lpstr>3</vt:lpstr>
      <vt:lpstr>4</vt:lpstr>
      <vt:lpstr>5</vt:lpstr>
      <vt:lpstr>Grafiki</vt:lpstr>
      <vt:lpstr>Īpatsvari</vt:lpstr>
      <vt:lpstr>'1'!Print_Titles</vt:lpstr>
      <vt:lpstr>'3'!Print_Titles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FDP</dc:creator>
  <cp:lastModifiedBy>Ilze Verpakovska</cp:lastModifiedBy>
  <cp:revision/>
  <cp:lastPrinted>2019-06-20T12:35:59Z</cp:lastPrinted>
  <dcterms:created xsi:type="dcterms:W3CDTF">2015-09-04T08:40:57Z</dcterms:created>
  <dcterms:modified xsi:type="dcterms:W3CDTF">2026-08-19T12:03:19Z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0x010100103627C2F4969444B9DFD665D750DD18</vt:lpwstr>
  </property>
  <property fmtid="{D5CDD505-2E9C-101B-9397-08002B2CF9AE}" pid="3" name="MediaServiceImageTags">
    <vt:lpwstr/>
  </property>
</Properties>
</file>