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4/"/>
    </mc:Choice>
  </mc:AlternateContent>
  <xr:revisionPtr revIDLastSave="734" documentId="8_{8067750E-38D4-44EA-8E8F-BD3D96720168}" xr6:coauthVersionLast="47" xr6:coauthVersionMax="47" xr10:uidLastSave="{7CEDB417-6916-41B7-B722-9D833DCC1922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externalReferences>
    <externalReference r:id="rId10"/>
  </externalReference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133" i="17" l="1"/>
  <c r="BZ108" i="17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CR38" i="2" l="1"/>
  <c r="CR35" i="2"/>
  <c r="CR32" i="2"/>
  <c r="CR29" i="2"/>
  <c r="CR26" i="2"/>
  <c r="CR18" i="2"/>
  <c r="CR12" i="2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CR9" i="2" s="1"/>
  <c r="CR8" i="2" s="1"/>
  <c r="CR5" i="2" s="1"/>
  <c r="CQ38" i="2"/>
  <c r="CQ35" i="2"/>
  <c r="CQ32" i="2"/>
  <c r="CQ29" i="2"/>
  <c r="CQ26" i="2"/>
  <c r="CQ18" i="2"/>
  <c r="CQ12" i="2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Q11" i="2" l="1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6" i="18"/>
  <c r="CM10" i="2"/>
  <c r="CQ8" i="2" l="1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0" i="18" l="1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C18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AC15" i="18"/>
  <c r="AB15" i="18"/>
  <c r="AA15" i="18"/>
  <c r="Z15" i="18"/>
  <c r="W15" i="18"/>
  <c r="V15" i="18"/>
  <c r="U15" i="18"/>
  <c r="T15" i="18"/>
  <c r="Q15" i="18"/>
  <c r="P15" i="18"/>
  <c r="O15" i="18"/>
  <c r="N15" i="18"/>
  <c r="K15" i="18"/>
  <c r="J15" i="18"/>
  <c r="I15" i="18"/>
  <c r="H15" i="18"/>
  <c r="E15" i="18"/>
  <c r="D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Y13" i="18"/>
  <c r="X13" i="18"/>
  <c r="S13" i="18"/>
  <c r="R13" i="18"/>
  <c r="M13" i="18"/>
  <c r="L13" i="18"/>
  <c r="G13" i="18"/>
  <c r="F13" i="18"/>
  <c r="C13" i="18"/>
  <c r="B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AC9" i="18"/>
  <c r="AB9" i="18"/>
  <c r="AA9" i="18"/>
  <c r="Z9" i="18"/>
  <c r="W9" i="18"/>
  <c r="V9" i="18"/>
  <c r="U9" i="18"/>
  <c r="T9" i="18"/>
  <c r="Q9" i="18"/>
  <c r="P9" i="18"/>
  <c r="O9" i="18"/>
  <c r="N9" i="18"/>
  <c r="K9" i="18"/>
  <c r="J9" i="18"/>
  <c r="I9" i="18"/>
  <c r="H9" i="18"/>
  <c r="E9" i="18"/>
  <c r="D9" i="18"/>
  <c r="AC8" i="18"/>
  <c r="AB8" i="18"/>
  <c r="AA8" i="18"/>
  <c r="Z8" i="18"/>
  <c r="W8" i="18"/>
  <c r="V8" i="18"/>
  <c r="U8" i="18"/>
  <c r="T8" i="18"/>
  <c r="Q8" i="18"/>
  <c r="P8" i="18"/>
  <c r="O8" i="18"/>
  <c r="N8" i="18"/>
  <c r="K8" i="18"/>
  <c r="J8" i="18"/>
  <c r="I8" i="18"/>
  <c r="H8" i="18"/>
  <c r="E8" i="18"/>
  <c r="D8" i="18"/>
  <c r="Y7" i="18"/>
  <c r="X7" i="18"/>
  <c r="S7" i="18"/>
  <c r="R7" i="18"/>
  <c r="M7" i="18"/>
  <c r="L7" i="18"/>
  <c r="G7" i="18"/>
  <c r="F7" i="18"/>
  <c r="C7" i="18"/>
  <c r="B7" i="18"/>
  <c r="M6" i="18"/>
  <c r="U13" i="18" l="1"/>
  <c r="J7" i="18"/>
  <c r="W13" i="18"/>
  <c r="Z13" i="18"/>
  <c r="I13" i="18"/>
  <c r="O7" i="18"/>
  <c r="F6" i="18"/>
  <c r="I6" i="18" s="1"/>
  <c r="B6" i="18"/>
  <c r="G6" i="18"/>
  <c r="G5" i="18" s="1"/>
  <c r="I5" i="18" s="1"/>
  <c r="U7" i="18"/>
  <c r="H13" i="18"/>
  <c r="Z7" i="18"/>
  <c r="P13" i="18"/>
  <c r="D13" i="18"/>
  <c r="R6" i="18"/>
  <c r="S6" i="18"/>
  <c r="V6" i="18" s="1"/>
  <c r="Q7" i="18"/>
  <c r="I7" i="18"/>
  <c r="Q6" i="18"/>
  <c r="V13" i="18"/>
  <c r="AC7" i="18"/>
  <c r="Y6" i="18"/>
  <c r="Y5" i="18" s="1"/>
  <c r="AA5" i="18" s="1"/>
  <c r="N7" i="18"/>
  <c r="AA7" i="18"/>
  <c r="N13" i="18"/>
  <c r="V7" i="18"/>
  <c r="C6" i="18"/>
  <c r="E7" i="18"/>
  <c r="J13" i="18"/>
  <c r="AA13" i="18"/>
  <c r="E13" i="18"/>
  <c r="O13" i="18"/>
  <c r="AB13" i="18"/>
  <c r="M5" i="18"/>
  <c r="O5" i="18" s="1"/>
  <c r="K13" i="18"/>
  <c r="T13" i="18"/>
  <c r="W7" i="18"/>
  <c r="Q13" i="18"/>
  <c r="AC13" i="18"/>
  <c r="W6" i="18"/>
  <c r="K7" i="18"/>
  <c r="L6" i="18"/>
  <c r="P6" i="18"/>
  <c r="X6" i="18"/>
  <c r="D7" i="18"/>
  <c r="H7" i="18"/>
  <c r="P7" i="18"/>
  <c r="T7" i="18"/>
  <c r="AB7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6" i="18"/>
  <c r="U6" i="18"/>
  <c r="D6" i="18"/>
  <c r="K6" i="18"/>
  <c r="AB6" i="18"/>
  <c r="T6" i="18"/>
  <c r="H6" i="18"/>
  <c r="C5" i="18"/>
  <c r="E5" i="18" s="1"/>
  <c r="J6" i="18"/>
  <c r="S5" i="18"/>
  <c r="U5" i="18" s="1"/>
  <c r="Q5" i="18"/>
  <c r="AC6" i="18"/>
  <c r="Z6" i="18"/>
  <c r="AA6" i="18"/>
  <c r="O6" i="18"/>
  <c r="N6" i="18"/>
  <c r="D663" i="10"/>
  <c r="G12" i="10"/>
  <c r="D8" i="10"/>
  <c r="C173" i="3"/>
  <c r="G227" i="10"/>
  <c r="G674" i="10"/>
  <c r="B52" i="17" a="1"/>
  <c r="G673" i="10"/>
  <c r="D665" i="10"/>
  <c r="C253" i="3"/>
  <c r="B56" i="17" a="1"/>
  <c r="G235" i="10"/>
  <c r="D17" i="10"/>
  <c r="B6" i="10"/>
  <c r="D234" i="10"/>
  <c r="G229" i="10"/>
  <c r="G371" i="10"/>
  <c r="B49" i="17" a="1"/>
  <c r="G381" i="10"/>
  <c r="C371" i="10"/>
  <c r="G230" i="10"/>
  <c r="E153" i="10"/>
  <c r="C152" i="10"/>
  <c r="G15" i="10"/>
  <c r="C486" i="3"/>
  <c r="F663" i="10"/>
  <c r="D16" i="10"/>
  <c r="D152" i="10"/>
  <c r="D672" i="10"/>
  <c r="D673" i="10"/>
  <c r="E663" i="10"/>
  <c r="G228" i="10"/>
  <c r="D11" i="10"/>
  <c r="G376" i="10"/>
  <c r="G17" i="10"/>
  <c r="E155" i="10"/>
  <c r="E371" i="10"/>
  <c r="D15" i="10"/>
  <c r="G234" i="10"/>
  <c r="G16" i="10"/>
  <c r="G13" i="10"/>
  <c r="E159" i="10"/>
  <c r="C225" i="10"/>
  <c r="G225" i="10"/>
  <c r="E6" i="10"/>
  <c r="D227" i="10"/>
  <c r="C492" i="3"/>
  <c r="C330" i="3"/>
  <c r="G666" i="10"/>
  <c r="C254" i="3"/>
  <c r="F225" i="10"/>
  <c r="F6" i="10"/>
  <c r="D379" i="10"/>
  <c r="F371" i="10"/>
  <c r="D667" i="10"/>
  <c r="D381" i="10"/>
  <c r="E162" i="10"/>
  <c r="G10" i="10"/>
  <c r="D666" i="10"/>
  <c r="C172" i="3"/>
  <c r="D371" i="10"/>
  <c r="C177" i="3"/>
  <c r="G375" i="10"/>
  <c r="G668" i="10"/>
  <c r="C663" i="10"/>
  <c r="G9" i="10"/>
  <c r="D377" i="10"/>
  <c r="G11" i="10"/>
  <c r="C6" i="10"/>
  <c r="G378" i="10"/>
  <c r="G379" i="10"/>
  <c r="C178" i="3"/>
  <c r="G380" i="10"/>
  <c r="D664" i="10"/>
  <c r="C335" i="3"/>
  <c r="C256" i="3"/>
  <c r="G667" i="10"/>
  <c r="G672" i="10"/>
  <c r="G226" i="10"/>
  <c r="D230" i="10"/>
  <c r="G374" i="10"/>
  <c r="E225" i="10"/>
  <c r="G236" i="10"/>
  <c r="C334" i="3"/>
  <c r="D375" i="10"/>
  <c r="D228" i="10"/>
  <c r="B55" i="17" a="1"/>
  <c r="D373" i="10"/>
  <c r="C337" i="3"/>
  <c r="D226" i="10"/>
  <c r="E157" i="10"/>
  <c r="C257" i="3"/>
  <c r="D674" i="10"/>
  <c r="C491" i="3"/>
  <c r="G233" i="10"/>
  <c r="C487" i="3"/>
  <c r="C336" i="3"/>
  <c r="G671" i="10"/>
  <c r="G231" i="10"/>
  <c r="D374" i="10"/>
  <c r="C175" i="3"/>
  <c r="E161" i="10"/>
  <c r="D10" i="10"/>
  <c r="G232" i="10"/>
  <c r="B50" i="17" a="1"/>
  <c r="G8" i="10"/>
  <c r="G372" i="10"/>
  <c r="C255" i="3"/>
  <c r="D669" i="10"/>
  <c r="G669" i="10"/>
  <c r="G382" i="10"/>
  <c r="D372" i="10"/>
  <c r="C251" i="3"/>
  <c r="D376" i="10"/>
  <c r="C333" i="3"/>
  <c r="D229" i="10"/>
  <c r="D233" i="10"/>
  <c r="D231" i="10"/>
  <c r="E156" i="10"/>
  <c r="D380" i="10"/>
  <c r="C174" i="3"/>
  <c r="B225" i="10"/>
  <c r="C176" i="3"/>
  <c r="B663" i="10"/>
  <c r="D225" i="10"/>
  <c r="D671" i="10"/>
  <c r="E154" i="10"/>
  <c r="E160" i="10"/>
  <c r="C490" i="3"/>
  <c r="D236" i="10"/>
  <c r="G670" i="10"/>
  <c r="D12" i="10"/>
  <c r="C332" i="3"/>
  <c r="D232" i="10"/>
  <c r="E152" i="10"/>
  <c r="D670" i="10"/>
  <c r="D235" i="10"/>
  <c r="G373" i="10"/>
  <c r="E158" i="10"/>
  <c r="D14" i="10"/>
  <c r="D378" i="10"/>
  <c r="C179" i="3"/>
  <c r="B53" i="17" a="1"/>
  <c r="G14" i="10"/>
  <c r="G663" i="10"/>
  <c r="C489" i="3"/>
  <c r="D13" i="10"/>
  <c r="G664" i="10"/>
  <c r="B371" i="10"/>
  <c r="C331" i="3"/>
  <c r="D9" i="10"/>
  <c r="C488" i="3"/>
  <c r="C250" i="3"/>
  <c r="C252" i="3"/>
  <c r="D382" i="10"/>
  <c r="D668" i="10"/>
  <c r="B152" i="10"/>
  <c r="G665" i="10"/>
  <c r="E163" i="10"/>
  <c r="C485" i="3"/>
  <c r="G377" i="10"/>
  <c r="G302" i="10" l="1"/>
  <c r="G445" i="10"/>
  <c r="D89" i="10"/>
  <c r="G306" i="10"/>
  <c r="D450" i="10"/>
  <c r="I160" i="10"/>
  <c r="D90" i="10"/>
  <c r="D299" i="10"/>
  <c r="D743" i="10"/>
  <c r="G454" i="10"/>
  <c r="G451" i="10"/>
  <c r="G737" i="10"/>
  <c r="D83" i="10"/>
  <c r="G446" i="10"/>
  <c r="I155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D81" i="10"/>
  <c r="G745" i="10"/>
  <c r="D452" i="10"/>
  <c r="D445" i="10"/>
  <c r="D82" i="10"/>
  <c r="G85" i="10"/>
  <c r="D85" i="10"/>
  <c r="D300" i="10"/>
  <c r="G308" i="10"/>
  <c r="I153" i="10"/>
  <c r="D742" i="10"/>
  <c r="G450" i="10"/>
  <c r="G455" i="10"/>
  <c r="I154" i="10"/>
  <c r="D309" i="10"/>
  <c r="D737" i="10"/>
  <c r="G453" i="10"/>
  <c r="D741" i="10"/>
  <c r="D84" i="10"/>
  <c r="G303" i="10"/>
  <c r="B53" i="17"/>
  <c r="D745" i="10"/>
  <c r="D736" i="10"/>
  <c r="D86" i="10"/>
  <c r="D301" i="10"/>
  <c r="D306" i="10"/>
  <c r="G83" i="10"/>
  <c r="D455" i="10"/>
  <c r="I158" i="10"/>
  <c r="G88" i="10"/>
  <c r="G747" i="10"/>
  <c r="D453" i="10"/>
  <c r="I157" i="10"/>
  <c r="B55" i="17"/>
  <c r="G87" i="10"/>
  <c r="D746" i="10"/>
  <c r="G740" i="10"/>
  <c r="G81" i="10"/>
  <c r="G300" i="10"/>
  <c r="G90" i="10"/>
  <c r="D454" i="10"/>
  <c r="G743" i="10"/>
  <c r="G86" i="10"/>
  <c r="I152" i="10"/>
  <c r="G744" i="10"/>
  <c r="G84" i="10"/>
  <c r="D740" i="10"/>
  <c r="D447" i="10"/>
  <c r="G89" i="10"/>
  <c r="D449" i="10"/>
  <c r="G447" i="10"/>
  <c r="D307" i="10"/>
  <c r="G307" i="10"/>
  <c r="B52" i="17"/>
  <c r="G449" i="10"/>
  <c r="D739" i="10"/>
  <c r="I163" i="10"/>
  <c r="G452" i="10"/>
  <c r="D308" i="10"/>
  <c r="I161" i="10"/>
  <c r="D303" i="10"/>
  <c r="D446" i="10"/>
  <c r="D451" i="10"/>
  <c r="G304" i="10"/>
  <c r="I162" i="10"/>
  <c r="D304" i="10"/>
  <c r="G739" i="10"/>
  <c r="D448" i="10"/>
  <c r="D88" i="10"/>
  <c r="G742" i="10"/>
  <c r="B49" i="17"/>
  <c r="G738" i="10"/>
  <c r="G299" i="10"/>
  <c r="B56" i="17"/>
  <c r="I156" i="10"/>
  <c r="I159" i="10"/>
  <c r="D305" i="10"/>
  <c r="G444" i="10"/>
  <c r="D744" i="10"/>
  <c r="D302" i="10"/>
  <c r="K5" i="18"/>
  <c r="AC5" i="18"/>
  <c r="W5" i="18"/>
  <c r="J304" i="10" l="1"/>
  <c r="O206" i="3"/>
  <c r="O207" i="3"/>
  <c r="O208" i="3"/>
  <c r="O209" i="3"/>
  <c r="O210" i="3"/>
  <c r="O211" i="3"/>
  <c r="C211" i="3" s="1"/>
  <c r="O212" i="3"/>
  <c r="C212" i="3" s="1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O289" i="3"/>
  <c r="O290" i="3"/>
  <c r="C290" i="3" s="1"/>
  <c r="O291" i="3"/>
  <c r="C291" i="3" s="1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O370" i="3"/>
  <c r="O371" i="3"/>
  <c r="C371" i="3" s="1"/>
  <c r="O372" i="3"/>
  <c r="C372" i="3" s="1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O525" i="3"/>
  <c r="O526" i="3"/>
  <c r="C526" i="3" s="1"/>
  <c r="O527" i="3"/>
  <c r="C527" i="3" s="1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S18" i="2" l="1"/>
  <c r="CS10" i="2"/>
  <c r="CL10" i="2"/>
  <c r="CK10" i="2"/>
  <c r="CJ10" i="2"/>
  <c r="CI10" i="2"/>
  <c r="CH10" i="2"/>
  <c r="CG10" i="2"/>
  <c r="CF10" i="2"/>
  <c r="CE10" i="2"/>
  <c r="CD10" i="2"/>
  <c r="CC10" i="2"/>
  <c r="CB10" i="2"/>
  <c r="CS5" i="2"/>
  <c r="CS38" i="2" l="1"/>
  <c r="CS35" i="2"/>
  <c r="CS32" i="2"/>
  <c r="CS29" i="2"/>
  <c r="CS26" i="2"/>
  <c r="CS12" i="2"/>
  <c r="CS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246" i="3"/>
  <c r="C382" i="10"/>
  <c r="C674" i="10"/>
  <c r="F236" i="10"/>
  <c r="C249" i="3"/>
  <c r="D163" i="10"/>
  <c r="C328" i="3"/>
  <c r="C483" i="3"/>
  <c r="C236" i="10"/>
  <c r="C326" i="3"/>
  <c r="C247" i="3"/>
  <c r="F382" i="10"/>
  <c r="F674" i="10"/>
  <c r="C170" i="3"/>
  <c r="C248" i="3"/>
  <c r="C327" i="3"/>
  <c r="C484" i="3"/>
  <c r="C329" i="3"/>
  <c r="C169" i="3"/>
  <c r="C482" i="3"/>
  <c r="C481" i="3"/>
  <c r="C171" i="3"/>
  <c r="C210" i="3" l="1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S9" i="2"/>
  <c r="CM11" i="2"/>
  <c r="C168" i="3"/>
  <c r="C17" i="10"/>
  <c r="G6" i="10"/>
  <c r="D6" i="10"/>
  <c r="D7" i="10"/>
  <c r="G7" i="10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B491" i="3"/>
  <c r="C381" i="10"/>
  <c r="D162" i="10"/>
  <c r="C235" i="10"/>
  <c r="C673" i="10"/>
  <c r="F673" i="10"/>
  <c r="F381" i="10"/>
  <c r="F235" i="10"/>
  <c r="EC32" i="1" l="1"/>
  <c r="EB6" i="1"/>
  <c r="CL29" i="2"/>
  <c r="CL32" i="2"/>
  <c r="CL26" i="2"/>
  <c r="EC20" i="1" s="1"/>
  <c r="B336" i="3"/>
  <c r="B256" i="3"/>
  <c r="C16" i="10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B255" i="3"/>
  <c r="F672" i="10"/>
  <c r="F380" i="10"/>
  <c r="F16" i="10"/>
  <c r="D161" i="10"/>
  <c r="B490" i="3"/>
  <c r="C672" i="10"/>
  <c r="C380" i="10"/>
  <c r="C234" i="10"/>
  <c r="F234" i="10"/>
  <c r="B335" i="3"/>
  <c r="EB5" i="1" l="1"/>
  <c r="EB23" i="1"/>
  <c r="EB26" i="1"/>
  <c r="EB32" i="1"/>
  <c r="EA6" i="1"/>
  <c r="CK11" i="2"/>
  <c r="DZ11" i="1"/>
  <c r="C15" i="10"/>
  <c r="B177" i="3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F379" i="10"/>
  <c r="F15" i="10"/>
  <c r="F671" i="10"/>
  <c r="C379" i="10"/>
  <c r="F233" i="10"/>
  <c r="D160" i="10"/>
  <c r="B489" i="3"/>
  <c r="C233" i="10"/>
  <c r="C671" i="10"/>
  <c r="EA5" i="1" l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B334" i="3"/>
  <c r="B254" i="3"/>
  <c r="C378" i="10"/>
  <c r="C670" i="10"/>
  <c r="F378" i="10"/>
  <c r="B176" i="3"/>
  <c r="C232" i="10"/>
  <c r="D159" i="10"/>
  <c r="F670" i="10"/>
  <c r="C14" i="10"/>
  <c r="F232" i="10"/>
  <c r="EA23" i="1" l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253" i="3"/>
  <c r="C13" i="10"/>
  <c r="B488" i="3"/>
  <c r="B333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C231" i="10"/>
  <c r="B487" i="3"/>
  <c r="C669" i="10"/>
  <c r="B252" i="3"/>
  <c r="F377" i="10"/>
  <c r="C377" i="10"/>
  <c r="D158" i="10"/>
  <c r="F13" i="10"/>
  <c r="F669" i="10"/>
  <c r="F231" i="10"/>
  <c r="B332" i="3"/>
  <c r="DY5" i="1" l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C376" i="10"/>
  <c r="F668" i="10"/>
  <c r="B251" i="3"/>
  <c r="F230" i="10"/>
  <c r="C668" i="10"/>
  <c r="C230" i="10"/>
  <c r="D157" i="10"/>
  <c r="F376" i="10"/>
  <c r="DX23" i="1" l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B331" i="3"/>
  <c r="B486" i="3"/>
  <c r="F12" i="10"/>
  <c r="C11" i="10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229" i="10"/>
  <c r="F375" i="10"/>
  <c r="F667" i="10"/>
  <c r="C229" i="10"/>
  <c r="C375" i="10"/>
  <c r="D156" i="10"/>
  <c r="C667" i="10"/>
  <c r="DV6" i="1" l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374" i="10"/>
  <c r="D155" i="10"/>
  <c r="C228" i="10"/>
  <c r="C666" i="10"/>
  <c r="F228" i="10"/>
  <c r="B485" i="3"/>
  <c r="B329" i="3"/>
  <c r="F11" i="10"/>
  <c r="B330" i="3"/>
  <c r="C10" i="10"/>
  <c r="F666" i="10"/>
  <c r="F374" i="10"/>
  <c r="B484" i="3"/>
  <c r="B250" i="3"/>
  <c r="B249" i="3"/>
  <c r="DW5" i="1" l="1"/>
  <c r="DW32" i="1"/>
  <c r="DW23" i="1"/>
  <c r="CF11" i="2"/>
  <c r="DV26" i="1"/>
  <c r="DW26" i="1"/>
  <c r="DV29" i="1"/>
  <c r="DV20" i="1"/>
  <c r="DV32" i="1"/>
  <c r="DV12" i="1"/>
  <c r="DV23" i="1"/>
  <c r="DU6" i="1"/>
  <c r="CE11" i="2"/>
  <c r="B172" i="3"/>
  <c r="B171" i="3"/>
  <c r="F10" i="10"/>
  <c r="C9" i="10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B327" i="3"/>
  <c r="F664" i="10"/>
  <c r="F373" i="10"/>
  <c r="C665" i="10"/>
  <c r="D154" i="10"/>
  <c r="F226" i="10"/>
  <c r="C373" i="10"/>
  <c r="B246" i="3"/>
  <c r="F665" i="10"/>
  <c r="F227" i="10"/>
  <c r="B247" i="3"/>
  <c r="F372" i="10"/>
  <c r="B326" i="3"/>
  <c r="D153" i="10"/>
  <c r="B248" i="3"/>
  <c r="C226" i="10"/>
  <c r="B328" i="3"/>
  <c r="C664" i="10"/>
  <c r="B483" i="3"/>
  <c r="B481" i="3"/>
  <c r="C227" i="10"/>
  <c r="B482" i="3"/>
  <c r="C372" i="10"/>
  <c r="C383" i="10" l="1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F8" i="10"/>
  <c r="E235" i="10"/>
  <c r="C8" i="10"/>
  <c r="B169" i="3"/>
  <c r="F9" i="10"/>
  <c r="B380" i="10"/>
  <c r="E380" i="10"/>
  <c r="E673" i="10"/>
  <c r="C162" i="10"/>
  <c r="C163" i="10"/>
  <c r="C161" i="10"/>
  <c r="E674" i="10"/>
  <c r="B235" i="10"/>
  <c r="B168" i="3"/>
  <c r="E382" i="10"/>
  <c r="E236" i="10"/>
  <c r="B382" i="10"/>
  <c r="B170" i="3"/>
  <c r="B673" i="10"/>
  <c r="F7" i="10"/>
  <c r="B672" i="10"/>
  <c r="B674" i="10"/>
  <c r="B234" i="10"/>
  <c r="B236" i="10"/>
  <c r="B381" i="10"/>
  <c r="E381" i="10"/>
  <c r="C7" i="10"/>
  <c r="E234" i="10"/>
  <c r="E672" i="10"/>
  <c r="C18" i="10" l="1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E667" i="10"/>
  <c r="E374" i="10"/>
  <c r="B233" i="10"/>
  <c r="E231" i="10"/>
  <c r="C156" i="10"/>
  <c r="B379" i="10"/>
  <c r="B16" i="10"/>
  <c r="C158" i="10"/>
  <c r="E233" i="10"/>
  <c r="C157" i="10"/>
  <c r="E378" i="10"/>
  <c r="B378" i="10"/>
  <c r="B231" i="10"/>
  <c r="E665" i="10"/>
  <c r="E671" i="10"/>
  <c r="B232" i="10"/>
  <c r="B666" i="10"/>
  <c r="E669" i="10"/>
  <c r="E375" i="10"/>
  <c r="B374" i="10"/>
  <c r="B228" i="10"/>
  <c r="C155" i="10"/>
  <c r="B373" i="10"/>
  <c r="B229" i="10"/>
  <c r="E376" i="10"/>
  <c r="E670" i="10"/>
  <c r="B670" i="10"/>
  <c r="B230" i="10"/>
  <c r="B671" i="10"/>
  <c r="E228" i="10"/>
  <c r="B227" i="10"/>
  <c r="B17" i="10"/>
  <c r="C159" i="10"/>
  <c r="B665" i="10"/>
  <c r="E227" i="10"/>
  <c r="B668" i="10"/>
  <c r="B669" i="10"/>
  <c r="B377" i="10"/>
  <c r="C154" i="10"/>
  <c r="B15" i="10"/>
  <c r="C160" i="10"/>
  <c r="E17" i="10"/>
  <c r="B376" i="10"/>
  <c r="B667" i="10"/>
  <c r="E229" i="10"/>
  <c r="E668" i="10"/>
  <c r="E373" i="10"/>
  <c r="B375" i="10"/>
  <c r="E232" i="10"/>
  <c r="E379" i="10"/>
  <c r="E16" i="10"/>
  <c r="E230" i="10"/>
  <c r="E666" i="10"/>
  <c r="E377" i="10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E372" i="10"/>
  <c r="B9" i="10"/>
  <c r="C153" i="10"/>
  <c r="B14" i="10"/>
  <c r="E14" i="10"/>
  <c r="E9" i="10"/>
  <c r="B10" i="10"/>
  <c r="B13" i="10"/>
  <c r="B11" i="10"/>
  <c r="B12" i="10"/>
  <c r="B664" i="10"/>
  <c r="B372" i="10"/>
  <c r="E13" i="10"/>
  <c r="E10" i="10"/>
  <c r="B153" i="10"/>
  <c r="B226" i="10"/>
  <c r="E11" i="10"/>
  <c r="E226" i="10"/>
  <c r="E12" i="10"/>
  <c r="E664" i="10"/>
  <c r="B8" i="10"/>
  <c r="E15" i="10"/>
  <c r="B383" i="10" l="1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H161" i="10"/>
  <c r="C88" i="10"/>
  <c r="F88" i="10"/>
  <c r="H157" i="10"/>
  <c r="C84" i="10"/>
  <c r="F84" i="10"/>
  <c r="H153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H160" i="10"/>
  <c r="C87" i="10"/>
  <c r="F87" i="10"/>
  <c r="H156" i="10"/>
  <c r="C83" i="10"/>
  <c r="F83" i="10"/>
  <c r="F79" i="10"/>
  <c r="C79" i="10"/>
  <c r="H152" i="10"/>
  <c r="H163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H159" i="10"/>
  <c r="C86" i="10"/>
  <c r="F86" i="10"/>
  <c r="H155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H162" i="10"/>
  <c r="C89" i="10"/>
  <c r="F89" i="10"/>
  <c r="H158" i="10"/>
  <c r="C85" i="10"/>
  <c r="F85" i="10"/>
  <c r="H154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492" i="3"/>
  <c r="B48" i="17" a="1"/>
  <c r="B46" i="17" a="1"/>
  <c r="B54" i="17" a="1"/>
  <c r="E7" i="10"/>
  <c r="B51" i="17" a="1"/>
  <c r="B47" i="17" a="1"/>
  <c r="B257" i="3"/>
  <c r="B337" i="3"/>
  <c r="B47" i="17" l="1"/>
  <c r="B54" i="17"/>
  <c r="B46" i="17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0" i="10"/>
  <c r="B162" i="10"/>
  <c r="B161" i="10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C159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H164" i="17" a="1"/>
  <c r="I145" i="17" a="1"/>
  <c r="B146" i="17" a="1"/>
  <c r="C151" i="17" a="1"/>
  <c r="I160" i="17" a="1"/>
  <c r="I150" i="17" a="1"/>
  <c r="H165" i="17" a="1"/>
  <c r="I159" i="17" a="1"/>
  <c r="H149" i="17" a="1"/>
  <c r="B166" i="17" a="1"/>
  <c r="C146" i="17" a="1"/>
  <c r="C166" i="17" a="1"/>
  <c r="H159" i="17" a="1"/>
  <c r="I165" i="17" a="1"/>
  <c r="B145" i="17" a="1"/>
  <c r="C167" i="17" a="1"/>
  <c r="H161" i="17" a="1"/>
  <c r="C147" i="17" a="1"/>
  <c r="H146" i="17" a="1"/>
  <c r="I151" i="17" a="1"/>
  <c r="H145" i="17" a="1"/>
  <c r="I147" i="17" a="1"/>
  <c r="I163" i="17" a="1"/>
  <c r="I161" i="17" a="1"/>
  <c r="C148" i="17" a="1"/>
  <c r="I146" i="17" a="1"/>
  <c r="C162" i="17" a="1"/>
  <c r="B165" i="17" a="1"/>
  <c r="C150" i="17" a="1"/>
  <c r="B167" i="17" a="1"/>
  <c r="C152" i="17" a="1"/>
  <c r="H162" i="17" a="1"/>
  <c r="H150" i="17" a="1"/>
  <c r="B156" i="10"/>
  <c r="C161" i="17" a="1"/>
  <c r="B147" i="17" a="1"/>
  <c r="C160" i="17" a="1"/>
  <c r="C153" i="17" a="1"/>
  <c r="I164" i="17" a="1"/>
  <c r="I149" i="17" a="1"/>
  <c r="I162" i="17" a="1"/>
  <c r="B153" i="17" a="1"/>
  <c r="H160" i="17" a="1"/>
  <c r="B148" i="17" a="1"/>
  <c r="I148" i="17" a="1"/>
  <c r="B159" i="17" a="1"/>
  <c r="B162" i="17" a="1"/>
  <c r="B160" i="17" a="1"/>
  <c r="H147" i="17" a="1"/>
  <c r="H151" i="17" a="1"/>
  <c r="B161" i="17" a="1"/>
  <c r="B151" i="17" a="1"/>
  <c r="B150" i="17" a="1"/>
  <c r="C164" i="17" a="1"/>
  <c r="C165" i="17" a="1"/>
  <c r="C163" i="17" a="1"/>
  <c r="B149" i="17" a="1"/>
  <c r="C149" i="17" a="1"/>
  <c r="H148" i="17" a="1"/>
  <c r="B164" i="17" a="1"/>
  <c r="B163" i="17" a="1"/>
  <c r="C145" i="17" a="1"/>
  <c r="B152" i="17" a="1"/>
  <c r="H163" i="17" a="1"/>
  <c r="B150" i="17" l="1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5" i="10"/>
  <c r="B154" i="10"/>
  <c r="E147" i="17" l="1"/>
  <c r="E737" i="10"/>
  <c r="B737" i="10"/>
  <c r="B747" i="10"/>
  <c r="E747" i="10"/>
  <c r="E301" i="10"/>
  <c r="B301" i="10"/>
  <c r="G154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G152" i="10"/>
  <c r="B79" i="10"/>
  <c r="G158" i="10"/>
  <c r="B85" i="10"/>
  <c r="E85" i="10"/>
  <c r="G160" i="10"/>
  <c r="E87" i="10"/>
  <c r="B87" i="10"/>
  <c r="G162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G153" i="10"/>
  <c r="B80" i="10"/>
  <c r="E80" i="10"/>
  <c r="G155" i="10"/>
  <c r="B82" i="10"/>
  <c r="E82" i="10"/>
  <c r="G157" i="10"/>
  <c r="E84" i="10"/>
  <c r="B84" i="10"/>
  <c r="G159" i="10"/>
  <c r="E86" i="10"/>
  <c r="B86" i="10"/>
  <c r="G161" i="10"/>
  <c r="B88" i="10"/>
  <c r="E88" i="10"/>
  <c r="G163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G156" i="10"/>
  <c r="B83" i="10"/>
  <c r="E83" i="10"/>
  <c r="E383" i="10"/>
  <c r="J151" i="17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G164" i="10" l="1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AV108" i="17" l="1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7" i="17" a="1"/>
  <c r="H48" i="17" a="1"/>
  <c r="H46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F152" i="10" s="1"/>
  <c r="R80" i="10"/>
  <c r="F153" i="10" s="1"/>
  <c r="R81" i="10"/>
  <c r="F154" i="10" s="1"/>
  <c r="R82" i="10"/>
  <c r="F155" i="10" s="1"/>
  <c r="R83" i="10"/>
  <c r="F156" i="10" s="1"/>
  <c r="R84" i="10"/>
  <c r="F157" i="10" s="1"/>
  <c r="R85" i="10"/>
  <c r="F158" i="10" s="1"/>
  <c r="R86" i="10"/>
  <c r="F159" i="10" s="1"/>
  <c r="R87" i="10"/>
  <c r="F160" i="10" s="1"/>
  <c r="R88" i="10"/>
  <c r="F161" i="10" s="1"/>
  <c r="R89" i="10"/>
  <c r="F162" i="10" s="1"/>
  <c r="R90" i="10"/>
  <c r="F163" i="10" s="1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<sst xmlns="http://schemas.openxmlformats.org/spreadsheetml/2006/main" count="1492" uniqueCount="261">
  <si>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</si>
  <si>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</si>
  <si>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</si>
  <si>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</si>
  <si>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</si>
  <si>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</si>
  <si>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</si>
  <si>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</si>
  <si>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</si>
  <si>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</si>
  <si>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</si>
  <si>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</si>
  <si>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</si>
  <si>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</si>
  <si>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</si>
  <si>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</si>
  <si>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</si>
  <si>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</si>
  <si>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</si>
  <si>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</si>
  <si>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</si>
  <si>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</si>
  <si>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</si>
  <si>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</si>
  <si>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</si>
  <si>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</si>
  <si>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</si>
  <si>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</si>
  <si>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</si>
  <si>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</si>
  <si>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</si>
  <si>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</si>
  <si>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</si>
  <si>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</si>
  <si>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</si>
  <si>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</si>
  <si>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</si>
  <si>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</si>
  <si>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</si>
  <si>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</si>
  <si>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</si>
  <si>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</si>
  <si>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</si>
  <si>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</si>
  <si>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</si>
  <si>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</si>
  <si>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</si>
  <si>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</si>
  <si>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</si>
  <si>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</si>
  <si>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</si>
  <si>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</si>
  <si>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</si>
  <si>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</si>
  <si>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</si>
  <si>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</si>
  <si>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</si>
  <si>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</si>
  <si>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</si>
  <si>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</si>
  <si>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</si>
  <si>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</si>
  <si>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</si>
  <si>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</si>
  <si>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</si>
  <si>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</si>
  <si>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</si>
  <si>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</si>
  <si>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</si>
  <si>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</si>
  <si>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</si>
  <si>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</si>
  <si>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</si>
  <si>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</si>
  <si>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</si>
  <si>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</si>
  <si>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</si>
  <si>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</si>
  <si>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</si>
  <si>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</si>
  <si>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</si>
  <si>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</si>
  <si>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</si>
  <si>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</si>
  <si>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</si>
  <si>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</si>
  <si>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</si>
  <si>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</si>
  <si>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</si>
  <si>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</si>
  <si>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</si>
  <si>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</si>
  <si>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</si>
  <si>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</si>
  <si>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</si>
  <si>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</si>
  <si>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</si>
  <si>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</si>
  <si>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</si>
  <si>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</si>
  <si>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</si>
  <si>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</si>
  <si>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</si>
  <si>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</si>
  <si>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</si>
  <si>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</si>
  <si>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</si>
  <si>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</si>
  <si>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</si>
  <si>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</si>
  <si>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</si>
  <si>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</si>
  <si>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</si>
  <si>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</si>
  <si>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</si>
  <si>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</si>
  <si>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</si>
  <si>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</si>
  <si>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</si>
  <si>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</si>
  <si>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</si>
  <si>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</si>
  <si>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</si>
  <si>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</si>
  <si>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</si>
  <si>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</si>
  <si>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</si>
  <si>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</si>
  <si>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</si>
  <si>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</si>
  <si>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</si>
  <si>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</si>
  <si>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</si>
  <si>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</si>
  <si>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</si>
  <si>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</si>
  <si>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</si>
  <si>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</si>
  <si>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</si>
  <si>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</si>
  <si>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</si>
  <si>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</si>
  <si>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</si>
  <si>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</si>
  <si>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</si>
  <si>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</si>
  <si>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</si>
  <si>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</si>
  <si>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</si>
  <si>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</si>
  <si>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</si>
  <si>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</si>
  <si>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</si>
  <si>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</si>
  <si>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</si>
  <si>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</si>
  <si>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</si>
  <si>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</si>
  <si>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</si>
  <si>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</si>
  <si>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</si>
  <si>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</si>
  <si>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</si>
  <si>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</si>
  <si>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</si>
  <si>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</si>
  <si>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</si>
  <si>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</si>
  <si>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</si>
  <si>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</si>
  <si>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</si>
  <si>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</si>
  <si>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</si>
  <si>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</si>
  <si>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</si>
  <si>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</si>
  <si>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</si>
  <si>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</si>
  <si>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</si>
  <si>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</si>
  <si>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</si>
  <si>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</si>
  <si>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</si>
  <si>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</si>
  <si>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</si>
  <si>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</si>
  <si>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</si>
  <si>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</si>
  <si>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</si>
  <si>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</si>
  <si>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</si>
  <si>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</si>
  <si>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</si>
  <si>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</si>
  <si>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</si>
  <si>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</si>
  <si>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</si>
  <si>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</si>
  <si>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</si>
  <si>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</si>
  <si>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</si>
  <si>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</si>
  <si>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</si>
  <si>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</si>
  <si>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</si>
  <si>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</si>
  <si>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</si>
  <si>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</si>
  <si>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</si>
  <si>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</si>
  <si>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</si>
  <si>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</si>
  <si>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</si>
  <si>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</si>
  <si>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</si>
  <si>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</si>
  <si>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</si>
  <si>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</si>
  <si>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</si>
  <si>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</si>
  <si>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</si>
  <si>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</si>
  <si>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</si>
  <si>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</si>
  <si>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</si>
  <si>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</si>
  <si>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</si>
  <si>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</si>
  <si>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</si>
  <si>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</si>
  <si>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</si>
  <si>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</si>
  <si>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</si>
  <si>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</si>
  <si>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</si>
  <si>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</si>
  <si>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</si>
  <si>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</si>
  <si>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</si>
  <si>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</si>
  <si>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</si>
  <si>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</si>
  <si>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</si>
  <si>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</si>
  <si>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</si>
  <si>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Kopbudžeta bilance, % no IKP*</t>
  </si>
  <si>
    <t>2025M01</t>
  </si>
  <si>
    <t xml:space="preserve">*Pēc naudas plūsmas metodes, pirms EKS korekcijām. </t>
  </si>
  <si>
    <t>Pārējie ieņēmumi*</t>
  </si>
  <si>
    <t>** Ietver transfertus (5.0) un ziedojumus un dāvinājumus (6.0).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</si>
  <si>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</si>
  <si>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</si>
  <si>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</si>
  <si>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</si>
  <si>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</si>
  <si>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Pārējie ieņēmumi**</t>
  </si>
  <si>
    <t>Pārējie izdevumi***</t>
  </si>
  <si>
    <t>*** Ietver kārtējos maksājumus Eiropas Savienības budžetā un starptautisko sadarbību (1.4) un pārējos izdevumus, kas veidojas pēc uzkrāšanas principa un nav klasificēti iepriekš (3.0).</t>
  </si>
  <si>
    <t>FM prognoze no Makroprognozes04.03.2025.xlsx</t>
  </si>
  <si>
    <t>2025M03</t>
  </si>
  <si>
    <t>2025M04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</si>
</sst>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9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374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167" fontId="13" fillId="0" borderId="1" xfId="1" applyNumberFormat="1" applyFont="1" applyBorder="1"/>
    <xf numFmtId="3" fontId="13" fillId="0" borderId="1" xfId="1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67" fontId="13" fillId="2" borderId="1" xfId="1" applyNumberFormat="1" applyFont="1" applyFill="1" applyBorder="1"/>
    <xf numFmtId="0" fontId="15" fillId="3" borderId="1" xfId="0" applyFont="1" applyFill="1" applyBorder="1" applyAlignment="1">
      <alignment horizontal="left" vertical="center"/>
    </xf>
    <xf numFmtId="167" fontId="13" fillId="3" borderId="1" xfId="1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67" fontId="13" fillId="3" borderId="2" xfId="1" applyNumberFormat="1" applyFont="1" applyFill="1" applyBorder="1"/>
    <xf numFmtId="3" fontId="13" fillId="0" borderId="2" xfId="1" applyNumberFormat="1" applyFont="1" applyBorder="1"/>
    <xf numFmtId="14" fontId="13" fillId="5" borderId="8" xfId="1" applyNumberFormat="1" applyFont="1" applyFill="1" applyBorder="1"/>
    <xf numFmtId="167" fontId="13" fillId="0" borderId="8" xfId="1" applyNumberFormat="1" applyFont="1" applyBorder="1"/>
    <xf numFmtId="3" fontId="13" fillId="0" borderId="8" xfId="1" applyNumberFormat="1" applyFont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167" fontId="13" fillId="6" borderId="8" xfId="1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167" fontId="13" fillId="3" borderId="6" xfId="1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4" fontId="13" fillId="0" borderId="1" xfId="1" applyNumberFormat="1" applyFont="1" applyBorder="1"/>
    <xf numFmtId="4" fontId="13" fillId="0" borderId="2" xfId="1" applyNumberFormat="1" applyFont="1" applyBorder="1"/>
    <xf numFmtId="4" fontId="13" fillId="0" borderId="7" xfId="1" applyNumberFormat="1" applyFont="1" applyBorder="1"/>
    <xf numFmtId="4" fontId="13" fillId="0" borderId="6" xfId="1" applyNumberFormat="1" applyFont="1" applyBorder="1"/>
    <xf numFmtId="3" fontId="13" fillId="0" borderId="6" xfId="1" applyNumberFormat="1" applyFont="1" applyBorder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4" fontId="13" fillId="6" borderId="8" xfId="1" applyNumberFormat="1" applyFont="1" applyFill="1" applyBorder="1"/>
    <xf numFmtId="4" fontId="13" fillId="0" borderId="23" xfId="1" applyNumberFormat="1" applyFont="1" applyBorder="1"/>
    <xf numFmtId="4" fontId="13" fillId="0" borderId="8" xfId="1" applyNumberFormat="1" applyFont="1" applyBorder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167" fontId="13" fillId="2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13" fillId="0" borderId="24" xfId="1" applyNumberFormat="1" applyFont="1" applyBorder="1"/>
    <xf numFmtId="167" fontId="13" fillId="0" borderId="24" xfId="1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167" fontId="13" fillId="0" borderId="7" xfId="1" applyNumberFormat="1" applyFont="1" applyBorder="1"/>
    <xf numFmtId="167" fontId="13" fillId="0" borderId="6" xfId="1" applyNumberFormat="1" applyFont="1" applyBorder="1"/>
    <xf numFmtId="3" fontId="16" fillId="0" borderId="0" xfId="0" applyNumberFormat="1" applyFont="1"/>
    <xf numFmtId="43" fontId="13" fillId="2" borderId="1" xfId="467" applyFont="1" applyFill="1" applyBorder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43" fontId="13" fillId="2" borderId="24" xfId="467" applyFont="1" applyFill="1" applyBorder="1"/>
    <xf numFmtId="167" fontId="13" fillId="3" borderId="24" xfId="1" applyNumberFormat="1" applyFont="1" applyFill="1" applyBorder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72" fontId="16" fillId="0" borderId="25" xfId="0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4" fontId="13" fillId="3" borderId="6" xfId="1" applyNumberFormat="1" applyFont="1" applyFill="1" applyBorder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43" fontId="13" fillId="2" borderId="26" xfId="467" applyFont="1" applyFill="1" applyBorder="1"/>
    <xf numFmtId="4" fontId="13" fillId="3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1" fontId="13" fillId="6" borderId="31" xfId="467" applyNumberFormat="1" applyFont="1" applyFill="1" applyBorder="1" applyAlignment="1"/>
    <xf numFmtId="1" fontId="16" fillId="0" borderId="31" xfId="0" applyNumberFormat="1" applyFont="1" applyBorder="1"/>
    <xf numFmtId="1" fontId="13" fillId="6" borderId="31" xfId="1" applyNumberFormat="1" applyFont="1" applyFill="1" applyBorder="1"/>
    <xf numFmtId="3" fontId="13" fillId="0" borderId="31" xfId="1" applyNumberFormat="1" applyFont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2" borderId="1" xfId="467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67" fontId="11" fillId="2" borderId="6" xfId="1" applyNumberFormat="1" applyFont="1" applyFill="1" applyBorder="1"/>
    <xf numFmtId="167" fontId="11" fillId="2" borderId="24" xfId="1" applyNumberFormat="1" applyFont="1" applyFill="1" applyBorder="1"/>
    <xf numFmtId="4" fontId="11" fillId="2" borderId="6" xfId="1" applyNumberFormat="1" applyFont="1" applyFill="1" applyBorder="1"/>
    <xf numFmtId="4" fontId="11" fillId="2" borderId="24" xfId="1" applyNumberFormat="1" applyFont="1" applyFill="1" applyBorder="1"/>
    <xf numFmtId="167" fontId="11" fillId="2" borderId="1" xfId="1" applyNumberFormat="1" applyFont="1" applyFill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66" fontId="81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3" fontId="13" fillId="0" borderId="26" xfId="1" applyNumberFormat="1" applyFont="1" applyBorder="1"/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4" fontId="13" fillId="6" borderId="45" xfId="1" applyNumberFormat="1" applyFont="1" applyFill="1" applyBorder="1"/>
    <xf numFmtId="4" fontId="16" fillId="0" borderId="45" xfId="0" applyNumberFormat="1" applyFont="1" applyBorder="1"/>
    <xf numFmtId="3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172" fontId="16" fillId="0" borderId="43" xfId="0" applyNumberFormat="1" applyFont="1" applyBorder="1"/>
    <xf numFmtId="4" fontId="13" fillId="3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4" fontId="13" fillId="6" borderId="46" xfId="1" applyNumberFormat="1" applyFont="1" applyFill="1" applyBorder="1"/>
    <xf numFmtId="4" fontId="16" fillId="0" borderId="46" xfId="0" applyNumberFormat="1" applyFont="1" applyBorder="1"/>
    <xf numFmtId="3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67" fontId="13" fillId="2" borderId="48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7" fontId="14" fillId="2" borderId="1" xfId="0" applyNumberFormat="1" applyFont="1" applyFill="1" applyBorder="1" applyAlignment="1">
      <alignment horizontal="right" vertical="center"/>
    </xf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4" fontId="13" fillId="3" borderId="48" xfId="1" applyNumberFormat="1" applyFont="1" applyFill="1" applyBorder="1"/>
    <xf numFmtId="43" fontId="13" fillId="2" borderId="43" xfId="467" applyFont="1" applyFill="1" applyBorder="1"/>
    <xf numFmtId="43" fontId="13" fillId="2" borderId="48" xfId="467" applyFont="1" applyFill="1" applyBorder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5" fillId="2" borderId="48" xfId="0" applyNumberFormat="1" applyFont="1" applyFill="1" applyBorder="1"/>
    <xf numFmtId="3" fontId="80" fillId="3" borderId="48" xfId="0" applyNumberFormat="1" applyFont="1" applyFill="1" applyBorder="1"/>
    <xf numFmtId="3" fontId="25" fillId="2" borderId="48" xfId="0" applyNumberFormat="1" applyFont="1" applyFill="1" applyBorder="1"/>
    <xf numFmtId="3" fontId="13" fillId="0" borderId="43" xfId="1" applyNumberFormat="1" applyFont="1" applyBorder="1"/>
    <xf numFmtId="3" fontId="13" fillId="0" borderId="48" xfId="1" applyNumberFormat="1" applyFont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0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-0.16229102344791174</c:v>
                </c:pt>
                <c:pt idx="2">
                  <c:v>-1.242218894763176</c:v>
                </c:pt>
                <c:pt idx="3">
                  <c:v>-1.8530088521451198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0.27849812083986053</c:v>
                </c:pt>
                <c:pt idx="1">
                  <c:v>-5.53895122579895E-2</c:v>
                </c:pt>
                <c:pt idx="2">
                  <c:v>-0.31356543564989436</c:v>
                </c:pt>
                <c:pt idx="3">
                  <c:v>-0.92949189358200679</c:v>
                </c:pt>
                <c:pt idx="4">
                  <c:v>-0.11101882273917733</c:v>
                </c:pt>
                <c:pt idx="5">
                  <c:v>0.6377510433892547</c:v>
                </c:pt>
                <c:pt idx="6">
                  <c:v>0.52918173939228963</c:v>
                </c:pt>
                <c:pt idx="7">
                  <c:v>0.48973256774183654</c:v>
                </c:pt>
                <c:pt idx="8">
                  <c:v>0.30265925856067638</c:v>
                </c:pt>
                <c:pt idx="9">
                  <c:v>-0.49054890238325366</c:v>
                </c:pt>
                <c:pt idx="10">
                  <c:v>-1.1077767231056381</c:v>
                </c:pt>
                <c:pt idx="11">
                  <c:v>-2.6925211276811201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-0.30030721958059203</c:v>
                </c:pt>
                <c:pt idx="1">
                  <c:v>-0.65085875805737914</c:v>
                </c:pt>
                <c:pt idx="2">
                  <c:v>-1.8287677455381568</c:v>
                </c:pt>
                <c:pt idx="3">
                  <c:v>-2.3481819338743604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8.6642217539285624E-2</c:v>
                </c:pt>
                <c:pt idx="1">
                  <c:v>0.13796478983439989</c:v>
                </c:pt>
                <c:pt idx="2">
                  <c:v>0.20704823829296534</c:v>
                </c:pt>
                <c:pt idx="3">
                  <c:v>0.34705272442158058</c:v>
                </c:pt>
                <c:pt idx="4">
                  <c:v>0.42538519823276666</c:v>
                </c:pt>
                <c:pt idx="5">
                  <c:v>0.51714383078476145</c:v>
                </c:pt>
                <c:pt idx="6">
                  <c:v>0.62192383589215294</c:v>
                </c:pt>
                <c:pt idx="7">
                  <c:v>0.7482168496782311</c:v>
                </c:pt>
                <c:pt idx="8">
                  <c:v>0.78026380963096553</c:v>
                </c:pt>
                <c:pt idx="9">
                  <c:v>0.82486414526242602</c:v>
                </c:pt>
                <c:pt idx="10">
                  <c:v>0.84782995030788111</c:v>
                </c:pt>
                <c:pt idx="11">
                  <c:v>0.83846922438173799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0.19724170319765003</c:v>
                </c:pt>
                <c:pt idx="1">
                  <c:v>0.19363917372208775</c:v>
                </c:pt>
                <c:pt idx="2">
                  <c:v>0.23491926978096606</c:v>
                </c:pt>
                <c:pt idx="3">
                  <c:v>0.15544706763075156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0.21626514845608844</c:v>
                </c:pt>
                <c:pt idx="1">
                  <c:v>0.31878362544651123</c:v>
                </c:pt>
                <c:pt idx="2">
                  <c:v>0.16873824685535765</c:v>
                </c:pt>
                <c:pt idx="3">
                  <c:v>0.19692357475261116</c:v>
                </c:pt>
                <c:pt idx="4">
                  <c:v>0.19206954528990314</c:v>
                </c:pt>
                <c:pt idx="5">
                  <c:v>0.2378863658995731</c:v>
                </c:pt>
                <c:pt idx="6">
                  <c:v>0.14488991202532181</c:v>
                </c:pt>
                <c:pt idx="7">
                  <c:v>0.21112687233320643</c:v>
                </c:pt>
                <c:pt idx="8">
                  <c:v>0.27260948138482954</c:v>
                </c:pt>
                <c:pt idx="9">
                  <c:v>0.28820649810681276</c:v>
                </c:pt>
                <c:pt idx="10">
                  <c:v>0.25147256089948217</c:v>
                </c:pt>
                <c:pt idx="11">
                  <c:v>-0.12009102429075257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0.1646393669691609</c:v>
                </c:pt>
                <c:pt idx="1">
                  <c:v>0.2495269609135673</c:v>
                </c:pt>
                <c:pt idx="2">
                  <c:v>0.31997264511785162</c:v>
                </c:pt>
                <c:pt idx="3">
                  <c:v>0.28261910897917286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0.36514033837914617</c:v>
                </c:pt>
                <c:pt idx="1">
                  <c:v>8.2575277576410394E-2</c:v>
                </c:pt>
                <c:pt idx="2">
                  <c:v>-0.10651719735692902</c:v>
                </c:pt>
                <c:pt idx="3">
                  <c:v>-0.58243916916042626</c:v>
                </c:pt>
                <c:pt idx="4">
                  <c:v>0.31436637549358931</c:v>
                </c:pt>
                <c:pt idx="5">
                  <c:v>1.1548948741740162</c:v>
                </c:pt>
                <c:pt idx="6">
                  <c:v>1.1511055752844426</c:v>
                </c:pt>
                <c:pt idx="7">
                  <c:v>1.2379494174200676</c:v>
                </c:pt>
                <c:pt idx="8">
                  <c:v>1.082923068191642</c:v>
                </c:pt>
                <c:pt idx="9">
                  <c:v>0.33431524287917236</c:v>
                </c:pt>
                <c:pt idx="10">
                  <c:v>-0.25994677279775702</c:v>
                </c:pt>
                <c:pt idx="11">
                  <c:v>-1.8540519032993821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-0.10306551638294201</c:v>
                </c:pt>
                <c:pt idx="1">
                  <c:v>-0.45721958433529142</c:v>
                </c:pt>
                <c:pt idx="2">
                  <c:v>-1.5938484757571907</c:v>
                </c:pt>
                <c:pt idx="3">
                  <c:v>-2.192734866243609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3.3208423151937532</c:v>
                </c:pt>
                <c:pt idx="1">
                  <c:v>3.3908940196728112</c:v>
                </c:pt>
                <c:pt idx="2">
                  <c:v>2.3923684658275057</c:v>
                </c:pt>
                <c:pt idx="3">
                  <c:v>3.5379683199995045</c:v>
                </c:pt>
                <c:pt idx="4">
                  <c:v>3.5621343661174318</c:v>
                </c:pt>
                <c:pt idx="5">
                  <c:v>3.3120796133109551</c:v>
                </c:pt>
                <c:pt idx="6">
                  <c:v>3.7075450268971335</c:v>
                </c:pt>
                <c:pt idx="7">
                  <c:v>3.1948170357156949</c:v>
                </c:pt>
                <c:pt idx="8">
                  <c:v>3.0932052852948222</c:v>
                </c:pt>
                <c:pt idx="9">
                  <c:v>3.0727249672365726</c:v>
                </c:pt>
                <c:pt idx="10">
                  <c:v>3.4391854844754142</c:v>
                </c:pt>
                <c:pt idx="11">
                  <c:v>3.4499330076585877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3.873221184594617</c:v>
                </c:pt>
                <c:pt idx="1">
                  <c:v>3.3700840083417414</c:v>
                </c:pt>
                <c:pt idx="2">
                  <c:v>2.943410076524331</c:v>
                </c:pt>
                <c:pt idx="3">
                  <c:v>3.5207769184877544</c:v>
                </c:pt>
                <c:pt idx="4">
                  <c:v>4.2574704685997355</c:v>
                </c:pt>
                <c:pt idx="5">
                  <c:v>4.4509076638436733</c:v>
                </c:pt>
                <c:pt idx="6">
                  <c:v>3.677655694627699</c:v>
                </c:pt>
                <c:pt idx="7">
                  <c:v>3.4189214399741661</c:v>
                </c:pt>
                <c:pt idx="8">
                  <c:v>3.1375446013901409</c:v>
                </c:pt>
                <c:pt idx="9">
                  <c:v>3.1902104605635979</c:v>
                </c:pt>
                <c:pt idx="10">
                  <c:v>3.1454843029270414</c:v>
                </c:pt>
                <c:pt idx="11">
                  <c:v>3.6564296807919785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3.4570542912893312</c:v>
                </c:pt>
                <c:pt idx="1">
                  <c:v>3.4368375134179834</c:v>
                </c:pt>
                <c:pt idx="2">
                  <c:v>2.7676312099006521</c:v>
                </c:pt>
                <c:pt idx="3">
                  <c:v>3.3294838097258692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2.7543558787903542</c:v>
                </c:pt>
                <c:pt idx="1">
                  <c:v>3.5832305392727908</c:v>
                </c:pt>
                <c:pt idx="2">
                  <c:v>3.4372129611265123</c:v>
                </c:pt>
                <c:pt idx="3">
                  <c:v>3.3033991187382457</c:v>
                </c:pt>
                <c:pt idx="4">
                  <c:v>3.2650052799662168</c:v>
                </c:pt>
                <c:pt idx="5">
                  <c:v>3.5229304829719492</c:v>
                </c:pt>
                <c:pt idx="6">
                  <c:v>3.1335608759138456</c:v>
                </c:pt>
                <c:pt idx="7">
                  <c:v>3.2441802916260358</c:v>
                </c:pt>
                <c:pt idx="8">
                  <c:v>3.1194533349760984</c:v>
                </c:pt>
                <c:pt idx="9">
                  <c:v>3.5975556437222069</c:v>
                </c:pt>
                <c:pt idx="10">
                  <c:v>3.7363844571265896</c:v>
                </c:pt>
                <c:pt idx="11">
                  <c:v>6.3904159793516397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3.2421783509450819</c:v>
                </c:pt>
                <c:pt idx="1">
                  <c:v>3.5512928521282676</c:v>
                </c:pt>
                <c:pt idx="2">
                  <c:v>3.2898433182648361</c:v>
                </c:pt>
                <c:pt idx="3">
                  <c:v>3.8631330905382204</c:v>
                </c:pt>
                <c:pt idx="4">
                  <c:v>3.3887061102772877</c:v>
                </c:pt>
                <c:pt idx="5">
                  <c:v>3.5785374633770446</c:v>
                </c:pt>
                <c:pt idx="6">
                  <c:v>3.7124670752779276</c:v>
                </c:pt>
                <c:pt idx="7">
                  <c:v>3.2695207452733523</c:v>
                </c:pt>
                <c:pt idx="8">
                  <c:v>3.2444734392236771</c:v>
                </c:pt>
                <c:pt idx="9">
                  <c:v>3.9249700709215163</c:v>
                </c:pt>
                <c:pt idx="10">
                  <c:v>3.7477353307474086</c:v>
                </c:pt>
                <c:pt idx="11">
                  <c:v>5.6525718141199777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3.3682334667826885</c:v>
                </c:pt>
                <c:pt idx="1">
                  <c:v>3.6879493613725383</c:v>
                </c:pt>
                <c:pt idx="2">
                  <c:v>3.8475590812159171</c:v>
                </c:pt>
                <c:pt idx="3">
                  <c:v>3.9402737671078136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0.56648643640339902</c:v>
                </c:pt>
                <c:pt idx="1">
                  <c:v>-0.19233651959997955</c:v>
                </c:pt>
                <c:pt idx="2">
                  <c:v>-1.0448444952990066</c:v>
                </c:pt>
                <c:pt idx="3">
                  <c:v>0.2345692012612588</c:v>
                </c:pt>
                <c:pt idx="4">
                  <c:v>0.29712908615121503</c:v>
                </c:pt>
                <c:pt idx="5">
                  <c:v>-0.21085086966099409</c:v>
                </c:pt>
                <c:pt idx="6">
                  <c:v>0.57398415098328792</c:v>
                </c:pt>
                <c:pt idx="7">
                  <c:v>-4.9363255910340964E-2</c:v>
                </c:pt>
                <c:pt idx="8">
                  <c:v>-2.6248049681276253E-2</c:v>
                </c:pt>
                <c:pt idx="9">
                  <c:v>-0.52483067648563431</c:v>
                </c:pt>
                <c:pt idx="10">
                  <c:v>-0.29719897265117545</c:v>
                </c:pt>
                <c:pt idx="11">
                  <c:v>-2.9404829716930521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0.63104283364953506</c:v>
                </c:pt>
                <c:pt idx="1">
                  <c:v>-0.18120884378652624</c:v>
                </c:pt>
                <c:pt idx="2">
                  <c:v>-0.34643324174050516</c:v>
                </c:pt>
                <c:pt idx="3">
                  <c:v>-0.34235617205046598</c:v>
                </c:pt>
                <c:pt idx="4">
                  <c:v>0.8687643583224478</c:v>
                </c:pt>
                <c:pt idx="5">
                  <c:v>0.87237020046662872</c:v>
                </c:pt>
                <c:pt idx="6">
                  <c:v>-3.4811380650228596E-2</c:v>
                </c:pt>
                <c:pt idx="7">
                  <c:v>0.14940069470081374</c:v>
                </c:pt>
                <c:pt idx="8">
                  <c:v>-0.10692883783353624</c:v>
                </c:pt>
                <c:pt idx="9">
                  <c:v>-0.73475961035791837</c:v>
                </c:pt>
                <c:pt idx="10">
                  <c:v>-0.60225102782036721</c:v>
                </c:pt>
                <c:pt idx="11">
                  <c:v>-1.9961421333279992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-0.25111184795455488</c:v>
                </c:pt>
                <c:pt idx="2">
                  <c:v>-1.0799278713152649</c:v>
                </c:pt>
                <c:pt idx="3">
                  <c:v>-0.61078995738194442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tūkst.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% no IKP </a:t>
            </a:r>
            <a:endParaRPr lang="en-US"/>
          </a:p>
        </c:rich>
      </c:tx>
      <c:layout>
        <c:manualLayout>
          <c:xMode val="edge"/>
          <c:yMode val="edge"/>
          <c:x val="0.28270595926283504"/>
          <c:y val="1.415788026231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3014466965941216E-2"/>
          <c:w val="0.88254396325459317"/>
          <c:h val="0.69388084114857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2.6088654149933483</c:v>
                </c:pt>
                <c:pt idx="1">
                  <c:v>2.4122516033731607</c:v>
                </c:pt>
                <c:pt idx="2">
                  <c:v>2.1303645669940239</c:v>
                </c:pt>
                <c:pt idx="3">
                  <c:v>2.6533068566406768</c:v>
                </c:pt>
                <c:pt idx="4">
                  <c:v>2.7110453459761072</c:v>
                </c:pt>
                <c:pt idx="5">
                  <c:v>2.4623940049321749</c:v>
                </c:pt>
                <c:pt idx="6">
                  <c:v>2.8461665873723248</c:v>
                </c:pt>
                <c:pt idx="7">
                  <c:v>2.6869884036352132</c:v>
                </c:pt>
                <c:pt idx="8">
                  <c:v>2.7297639216973537</c:v>
                </c:pt>
                <c:pt idx="9">
                  <c:v>2.8301155453615592</c:v>
                </c:pt>
                <c:pt idx="10">
                  <c:v>2.8760028282803116</c:v>
                </c:pt>
                <c:pt idx="11">
                  <c:v>3.0676427945680951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2.7358313439326842</c:v>
                </c:pt>
                <c:pt idx="1">
                  <c:v>2.4979528025347491</c:v>
                </c:pt>
                <c:pt idx="2">
                  <c:v>2.1295271706881245</c:v>
                </c:pt>
                <c:pt idx="3">
                  <c:v>2.7020621140016043</c:v>
                </c:pt>
                <c:pt idx="4">
                  <c:v>2.7221986507252502</c:v>
                </c:pt>
                <c:pt idx="5">
                  <c:v>2.5988113250163929</c:v>
                </c:pt>
                <c:pt idx="6">
                  <c:v>2.8158502434610879</c:v>
                </c:pt>
                <c:pt idx="7">
                  <c:v>2.7299656807910497</c:v>
                </c:pt>
                <c:pt idx="8">
                  <c:v>2.7298779569277594</c:v>
                </c:pt>
                <c:pt idx="9">
                  <c:v>2.7745369593952445</c:v>
                </c:pt>
                <c:pt idx="10">
                  <c:v>2.5882945014467134</c:v>
                </c:pt>
                <c:pt idx="11">
                  <c:v>2.978251014396859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2.6871360821528087</c:v>
                </c:pt>
                <c:pt idx="1">
                  <c:v>2.5474382484570133</c:v>
                </c:pt>
                <c:pt idx="2">
                  <c:v>2.3586286523100601</c:v>
                </c:pt>
                <c:pt idx="3">
                  <c:v>2.7386034476189391</c:v>
                </c:pt>
                <c:pt idx="4">
                  <c:v>2.9461803492345928</c:v>
                </c:pt>
                <c:pt idx="5">
                  <c:v>2.9237845347095237</c:v>
                </c:pt>
                <c:pt idx="6">
                  <c:v>2.9071761494143962</c:v>
                </c:pt>
                <c:pt idx="7">
                  <c:v>2.8944308486080055</c:v>
                </c:pt>
                <c:pt idx="8">
                  <c:v>2.8464100525492371</c:v>
                </c:pt>
                <c:pt idx="9">
                  <c:v>2.8439973519953061</c:v>
                </c:pt>
                <c:pt idx="10">
                  <c:v>2.821029845812272</c:v>
                </c:pt>
                <c:pt idx="11">
                  <c:v>3.2679702802310797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2.853180615011671</c:v>
                </c:pt>
                <c:pt idx="1">
                  <c:v>2.5634638330778956</c:v>
                </c:pt>
                <c:pt idx="2">
                  <c:v>2.3422067774982218</c:v>
                </c:pt>
                <c:pt idx="3">
                  <c:v>2.7537213393845059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447142336629"/>
          <c:y val="0.94693701360714577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1.828537627528068</c:v>
                </c:pt>
                <c:pt idx="1">
                  <c:v>2.0103365145710783</c:v>
                </c:pt>
                <c:pt idx="2">
                  <c:v>1.3543092750911296</c:v>
                </c:pt>
                <c:pt idx="3">
                  <c:v>2.2756892789725267</c:v>
                </c:pt>
                <c:pt idx="4">
                  <c:v>2.146573934728051</c:v>
                </c:pt>
                <c:pt idx="5">
                  <c:v>1.9312355877825205</c:v>
                </c:pt>
                <c:pt idx="6">
                  <c:v>2.2135801741986301</c:v>
                </c:pt>
                <c:pt idx="7">
                  <c:v>1.7220757626450651</c:v>
                </c:pt>
                <c:pt idx="8">
                  <c:v>1.7236531235031562</c:v>
                </c:pt>
                <c:pt idx="9">
                  <c:v>1.7519870195401552</c:v>
                </c:pt>
                <c:pt idx="10">
                  <c:v>1.9738933996193408</c:v>
                </c:pt>
                <c:pt idx="11">
                  <c:v>2.0294526616619946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2.2927405420978331</c:v>
                </c:pt>
                <c:pt idx="1">
                  <c:v>1.854094951531009</c:v>
                </c:pt>
                <c:pt idx="2">
                  <c:v>1.7455650025064426</c:v>
                </c:pt>
                <c:pt idx="3">
                  <c:v>2.061097676932484</c:v>
                </c:pt>
                <c:pt idx="4">
                  <c:v>2.7678005942441657</c:v>
                </c:pt>
                <c:pt idx="5">
                  <c:v>3.0202687036346747</c:v>
                </c:pt>
                <c:pt idx="6">
                  <c:v>2.1792551942147012</c:v>
                </c:pt>
                <c:pt idx="7">
                  <c:v>1.7793127692659547</c:v>
                </c:pt>
                <c:pt idx="8">
                  <c:v>1.7018402254773302</c:v>
                </c:pt>
                <c:pt idx="9">
                  <c:v>1.7045954490888839</c:v>
                </c:pt>
                <c:pt idx="10">
                  <c:v>1.5902990067644562</c:v>
                </c:pt>
                <c:pt idx="11">
                  <c:v>2.1820402872156914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1.9573152833420724</c:v>
                </c:pt>
                <c:pt idx="1">
                  <c:v>2.0142635650230898</c:v>
                </c:pt>
                <c:pt idx="2">
                  <c:v>1.2904810473626727</c:v>
                </c:pt>
                <c:pt idx="3">
                  <c:v>1.9309653306850754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1.5609550352402852</c:v>
                </c:pt>
                <c:pt idx="1">
                  <c:v>2.2937174256359354</c:v>
                </c:pt>
                <c:pt idx="2">
                  <c:v>2.036122674834417</c:v>
                </c:pt>
                <c:pt idx="3">
                  <c:v>2.0720877393055765</c:v>
                </c:pt>
                <c:pt idx="4">
                  <c:v>1.9694887290493834</c:v>
                </c:pt>
                <c:pt idx="5">
                  <c:v>2.215238594354815</c:v>
                </c:pt>
                <c:pt idx="6">
                  <c:v>1.9686432385357351</c:v>
                </c:pt>
                <c:pt idx="7">
                  <c:v>1.7895377450977017</c:v>
                </c:pt>
                <c:pt idx="8">
                  <c:v>1.8880573226770396</c:v>
                </c:pt>
                <c:pt idx="9">
                  <c:v>2.3957301141654739</c:v>
                </c:pt>
                <c:pt idx="10">
                  <c:v>2.1962052031814898</c:v>
                </c:pt>
                <c:pt idx="11">
                  <c:v>4.4640519677598567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2.0142424212579724</c:v>
                </c:pt>
                <c:pt idx="1">
                  <c:v>2.187982584628859</c:v>
                </c:pt>
                <c:pt idx="2">
                  <c:v>2.0037409258983474</c:v>
                </c:pt>
                <c:pt idx="3">
                  <c:v>2.6770241348645962</c:v>
                </c:pt>
                <c:pt idx="4">
                  <c:v>1.9493275234013365</c:v>
                </c:pt>
                <c:pt idx="5">
                  <c:v>2.2714988375062428</c:v>
                </c:pt>
                <c:pt idx="6">
                  <c:v>2.2878244982116662</c:v>
                </c:pt>
                <c:pt idx="7">
                  <c:v>1.818761940916408</c:v>
                </c:pt>
                <c:pt idx="8">
                  <c:v>1.88891353465849</c:v>
                </c:pt>
                <c:pt idx="9">
                  <c:v>2.4978036100328138</c:v>
                </c:pt>
                <c:pt idx="10">
                  <c:v>2.2075268274868409</c:v>
                </c:pt>
                <c:pt idx="11">
                  <c:v>3.7667846917911736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2.2576225029226644</c:v>
                </c:pt>
                <c:pt idx="1">
                  <c:v>2.3648151034998772</c:v>
                </c:pt>
                <c:pt idx="2">
                  <c:v>2.4683900348434507</c:v>
                </c:pt>
                <c:pt idx="3">
                  <c:v>2.4503795190212783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0.26758259228778281</c:v>
                </c:pt>
                <c:pt idx="1">
                  <c:v>-0.28338091106485708</c:v>
                </c:pt>
                <c:pt idx="2">
                  <c:v>-0.68181339974328736</c:v>
                </c:pt>
                <c:pt idx="3">
                  <c:v>0.20360153966695016</c:v>
                </c:pt>
                <c:pt idx="4">
                  <c:v>0.17708520567866759</c:v>
                </c:pt>
                <c:pt idx="5">
                  <c:v>-0.28400300657229449</c:v>
                </c:pt>
                <c:pt idx="6">
                  <c:v>0.24493693566289498</c:v>
                </c:pt>
                <c:pt idx="7">
                  <c:v>-6.7461982452636571E-2</c:v>
                </c:pt>
                <c:pt idx="8">
                  <c:v>-0.16440419917388338</c:v>
                </c:pt>
                <c:pt idx="9">
                  <c:v>-0.64374309462531865</c:v>
                </c:pt>
                <c:pt idx="10">
                  <c:v>-0.22231180356214897</c:v>
                </c:pt>
                <c:pt idx="11">
                  <c:v>-2.4345993060978621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0.2784981208398607</c:v>
                </c:pt>
                <c:pt idx="1">
                  <c:v>-0.33388763309784997</c:v>
                </c:pt>
                <c:pt idx="2">
                  <c:v>-0.25817592339190476</c:v>
                </c:pt>
                <c:pt idx="3">
                  <c:v>-0.6159264579321122</c:v>
                </c:pt>
                <c:pt idx="4">
                  <c:v>0.81847307084282916</c:v>
                </c:pt>
                <c:pt idx="5">
                  <c:v>0.74876986612843188</c:v>
                </c:pt>
                <c:pt idx="6">
                  <c:v>-0.10856930399696507</c:v>
                </c:pt>
                <c:pt idx="7">
                  <c:v>-3.9449171650453252E-2</c:v>
                </c:pt>
                <c:pt idx="8">
                  <c:v>-0.18707330918115983</c:v>
                </c:pt>
                <c:pt idx="9">
                  <c:v>-0.79320816094392987</c:v>
                </c:pt>
                <c:pt idx="10">
                  <c:v>-0.61722782072238469</c:v>
                </c:pt>
                <c:pt idx="11">
                  <c:v>-1.5847444045754822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-0.30030721958059203</c:v>
                </c:pt>
                <c:pt idx="1">
                  <c:v>-0.35055153847678744</c:v>
                </c:pt>
                <c:pt idx="2">
                  <c:v>-1.177908987480778</c:v>
                </c:pt>
                <c:pt idx="3">
                  <c:v>-0.5194141883362029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0.98230099751828759</c:v>
                </c:pt>
                <c:pt idx="1">
                  <c:v>0.8273910937280422</c:v>
                </c:pt>
                <c:pt idx="2">
                  <c:v>0.68410315029983804</c:v>
                </c:pt>
                <c:pt idx="3">
                  <c:v>0.91065387385090546</c:v>
                </c:pt>
                <c:pt idx="4">
                  <c:v>0.89381700043718382</c:v>
                </c:pt>
                <c:pt idx="5">
                  <c:v>0.92776155364221957</c:v>
                </c:pt>
                <c:pt idx="6">
                  <c:v>0.95384319238158843</c:v>
                </c:pt>
                <c:pt idx="7">
                  <c:v>0.93165874703482199</c:v>
                </c:pt>
                <c:pt idx="8">
                  <c:v>0.93987079175821808</c:v>
                </c:pt>
                <c:pt idx="9">
                  <c:v>0.89554956896086435</c:v>
                </c:pt>
                <c:pt idx="10">
                  <c:v>0.9171323899874968</c:v>
                </c:pt>
                <c:pt idx="11">
                  <c:v>0.90406488441868715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1.0418723575787221</c:v>
                </c:pt>
                <c:pt idx="1">
                  <c:v>0.93393360857938412</c:v>
                </c:pt>
                <c:pt idx="2">
                  <c:v>0.8826616898941585</c:v>
                </c:pt>
                <c:pt idx="3">
                  <c:v>1.0401309298945283</c:v>
                </c:pt>
                <c:pt idx="4">
                  <c:v>0.94712004370829295</c:v>
                </c:pt>
                <c:pt idx="5">
                  <c:v>0.95246633612867082</c:v>
                </c:pt>
                <c:pt idx="6">
                  <c:v>0.98142579354337689</c:v>
                </c:pt>
                <c:pt idx="7">
                  <c:v>0.99828634512778791</c:v>
                </c:pt>
                <c:pt idx="8">
                  <c:v>0.91919472623473419</c:v>
                </c:pt>
                <c:pt idx="9">
                  <c:v>0.98006370710509461</c:v>
                </c:pt>
                <c:pt idx="10">
                  <c:v>0.9532681041577703</c:v>
                </c:pt>
                <c:pt idx="11">
                  <c:v>0.93190141569465446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1.114996163799912</c:v>
                </c:pt>
                <c:pt idx="1">
                  <c:v>0.90761450098539032</c:v>
                </c:pt>
                <c:pt idx="2">
                  <c:v>0.95173180192230544</c:v>
                </c:pt>
                <c:pt idx="3">
                  <c:v>0.98166558174140051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0.77837566767247246</c:v>
                </c:pt>
                <c:pt idx="1">
                  <c:v>0.74238289344282216</c:v>
                </c:pt>
                <c:pt idx="2">
                  <c:v>0.57317279604746585</c:v>
                </c:pt>
                <c:pt idx="3">
                  <c:v>0.6675134753622276</c:v>
                </c:pt>
                <c:pt idx="4">
                  <c:v>0.74936403056444778</c:v>
                </c:pt>
                <c:pt idx="5">
                  <c:v>0.95522047151240019</c:v>
                </c:pt>
                <c:pt idx="6">
                  <c:v>0.7648602647168341</c:v>
                </c:pt>
                <c:pt idx="7">
                  <c:v>0.67141019888266418</c:v>
                </c:pt>
                <c:pt idx="8">
                  <c:v>0.62533598463147277</c:v>
                </c:pt>
                <c:pt idx="9">
                  <c:v>0.80077732857152184</c:v>
                </c:pt>
                <c:pt idx="10">
                  <c:v>0.76436316282485151</c:v>
                </c:pt>
                <c:pt idx="11">
                  <c:v>0.7483032090668772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0.82101277723444188</c:v>
                </c:pt>
                <c:pt idx="1">
                  <c:v>0.80386532034062153</c:v>
                </c:pt>
                <c:pt idx="2">
                  <c:v>0.54679143565765431</c:v>
                </c:pt>
                <c:pt idx="3">
                  <c:v>0.79820027104792157</c:v>
                </c:pt>
                <c:pt idx="4">
                  <c:v>0.75188165713084532</c:v>
                </c:pt>
                <c:pt idx="5">
                  <c:v>0.96936955045300521</c:v>
                </c:pt>
                <c:pt idx="6">
                  <c:v>0.7203874226442506</c:v>
                </c:pt>
                <c:pt idx="7">
                  <c:v>0.73827469780683574</c:v>
                </c:pt>
                <c:pt idx="8">
                  <c:v>0.69677196459604374</c:v>
                </c:pt>
                <c:pt idx="9">
                  <c:v>0.85843712510931791</c:v>
                </c:pt>
                <c:pt idx="10">
                  <c:v>0.82022466804687644</c:v>
                </c:pt>
                <c:pt idx="11">
                  <c:v>0.80354489217523439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0.79625788798309627</c:v>
                </c:pt>
                <c:pt idx="1">
                  <c:v>0.76609958256341937</c:v>
                </c:pt>
                <c:pt idx="2">
                  <c:v>0.78824570513196979</c:v>
                </c:pt>
                <c:pt idx="3">
                  <c:v>0.80339520659031827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0.92680433768711801</c:v>
                </c:pt>
                <c:pt idx="1">
                  <c:v>0.86038241346205613</c:v>
                </c:pt>
                <c:pt idx="2">
                  <c:v>0.8790108383253441</c:v>
                </c:pt>
                <c:pt idx="3">
                  <c:v>0.88848089084511483</c:v>
                </c:pt>
                <c:pt idx="4">
                  <c:v>0.78999947450512953</c:v>
                </c:pt>
                <c:pt idx="5">
                  <c:v>0.83342537494084401</c:v>
                </c:pt>
                <c:pt idx="6">
                  <c:v>0.74655439312568428</c:v>
                </c:pt>
                <c:pt idx="7">
                  <c:v>0.90030321993743234</c:v>
                </c:pt>
                <c:pt idx="8">
                  <c:v>0.75910585968433608</c:v>
                </c:pt>
                <c:pt idx="9">
                  <c:v>0.84190618400280282</c:v>
                </c:pt>
                <c:pt idx="10">
                  <c:v>0.888422266038014</c:v>
                </c:pt>
                <c:pt idx="11">
                  <c:v>0.81520135254099546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0.95523014003943663</c:v>
                </c:pt>
                <c:pt idx="1">
                  <c:v>0.88261103628426985</c:v>
                </c:pt>
                <c:pt idx="2">
                  <c:v>0.81357824143559287</c:v>
                </c:pt>
                <c:pt idx="3">
                  <c:v>0.900126443765913</c:v>
                </c:pt>
                <c:pt idx="4">
                  <c:v>0.86878756989710693</c:v>
                </c:pt>
                <c:pt idx="5">
                  <c:v>0.86070770357667592</c:v>
                </c:pt>
                <c:pt idx="6">
                  <c:v>0.87664578843598551</c:v>
                </c:pt>
                <c:pt idx="7">
                  <c:v>0.87199333134170987</c:v>
                </c:pt>
                <c:pt idx="8">
                  <c:v>0.88714776628199976</c:v>
                </c:pt>
                <c:pt idx="9">
                  <c:v>0.93546337147363401</c:v>
                </c:pt>
                <c:pt idx="10">
                  <c:v>0.93030229911231499</c:v>
                </c:pt>
                <c:pt idx="11">
                  <c:v>0.94126214162079758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0.91775446060226207</c:v>
                </c:pt>
                <c:pt idx="1">
                  <c:v>0.91121703046095248</c:v>
                </c:pt>
                <c:pt idx="2">
                  <c:v>0.91045170586342705</c:v>
                </c:pt>
                <c:pt idx="3">
                  <c:v>1.0611377838916149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5.5496659831169581E-2</c:v>
                </c:pt>
                <c:pt idx="1">
                  <c:v>-3.2991319734013924E-2</c:v>
                </c:pt>
                <c:pt idx="2">
                  <c:v>-0.19490768802550607</c:v>
                </c:pt>
                <c:pt idx="3">
                  <c:v>2.2172983005790625E-2</c:v>
                </c:pt>
                <c:pt idx="4">
                  <c:v>0.10381752593205429</c:v>
                </c:pt>
                <c:pt idx="5">
                  <c:v>9.4336178701375561E-2</c:v>
                </c:pt>
                <c:pt idx="6">
                  <c:v>0.20728879925590415</c:v>
                </c:pt>
                <c:pt idx="7">
                  <c:v>3.1355527097389646E-2</c:v>
                </c:pt>
                <c:pt idx="8">
                  <c:v>0.180764932073882</c:v>
                </c:pt>
                <c:pt idx="9">
                  <c:v>5.3643384958061535E-2</c:v>
                </c:pt>
                <c:pt idx="10">
                  <c:v>2.8710123949482802E-2</c:v>
                </c:pt>
                <c:pt idx="11">
                  <c:v>8.8863531877691693E-2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8.6642217539285471E-2</c:v>
                </c:pt>
                <c:pt idx="1">
                  <c:v>5.1322572295114277E-2</c:v>
                </c:pt>
                <c:pt idx="2">
                  <c:v>6.9083448458565622E-2</c:v>
                </c:pt>
                <c:pt idx="3">
                  <c:v>0.14000448612861527</c:v>
                </c:pt>
                <c:pt idx="4">
                  <c:v>7.8332473811186021E-2</c:v>
                </c:pt>
                <c:pt idx="5">
                  <c:v>9.1758632551994901E-2</c:v>
                </c:pt>
                <c:pt idx="6">
                  <c:v>0.10478000510739138</c:v>
                </c:pt>
                <c:pt idx="7">
                  <c:v>0.12629301378607805</c:v>
                </c:pt>
                <c:pt idx="8">
                  <c:v>3.2046959952734433E-2</c:v>
                </c:pt>
                <c:pt idx="9">
                  <c:v>4.4600335631460597E-2</c:v>
                </c:pt>
                <c:pt idx="10">
                  <c:v>2.2965805045455312E-2</c:v>
                </c:pt>
                <c:pt idx="11">
                  <c:v>-9.3607259261431208E-3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0.19724170319764989</c:v>
                </c:pt>
                <c:pt idx="1">
                  <c:v>-3.6025294755621662E-3</c:v>
                </c:pt>
                <c:pt idx="2">
                  <c:v>4.1280096058878391E-2</c:v>
                </c:pt>
                <c:pt idx="3">
                  <c:v>-7.9472202150214444E-2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0.56381146940683913</c:v>
                </c:pt>
                <c:pt idx="1">
                  <c:v>0.65352932031518207</c:v>
                </c:pt>
                <c:pt idx="2">
                  <c:v>0.71543933898282241</c:v>
                </c:pt>
                <c:pt idx="3">
                  <c:v>0.71649463630764187</c:v>
                </c:pt>
                <c:pt idx="4">
                  <c:v>0.69835621699671901</c:v>
                </c:pt>
                <c:pt idx="5">
                  <c:v>0.93654031499366353</c:v>
                </c:pt>
                <c:pt idx="6">
                  <c:v>0.72434947151191731</c:v>
                </c:pt>
                <c:pt idx="7">
                  <c:v>0.70525644213152217</c:v>
                </c:pt>
                <c:pt idx="8">
                  <c:v>0.64772618318954367</c:v>
                </c:pt>
                <c:pt idx="9">
                  <c:v>0.80035545448308987</c:v>
                </c:pt>
                <c:pt idx="10">
                  <c:v>0.82388920759767525</c:v>
                </c:pt>
                <c:pt idx="11">
                  <c:v>1.2515482503725766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0.60474762877835331</c:v>
                </c:pt>
                <c:pt idx="1">
                  <c:v>0.70134684335019859</c:v>
                </c:pt>
                <c:pt idx="2">
                  <c:v>0.69683681424880795</c:v>
                </c:pt>
                <c:pt idx="3">
                  <c:v>0.77001494315066799</c:v>
                </c:pt>
                <c:pt idx="4">
                  <c:v>0.75673568659355328</c:v>
                </c:pt>
                <c:pt idx="5">
                  <c:v>0.92355272984333525</c:v>
                </c:pt>
                <c:pt idx="6">
                  <c:v>0.81338387651850208</c:v>
                </c:pt>
                <c:pt idx="7">
                  <c:v>0.67203773749895102</c:v>
                </c:pt>
                <c:pt idx="8">
                  <c:v>0.63528935554442068</c:v>
                </c:pt>
                <c:pt idx="9">
                  <c:v>0.84284010838733481</c:v>
                </c:pt>
                <c:pt idx="10">
                  <c:v>0.85695860525420697</c:v>
                </c:pt>
                <c:pt idx="11">
                  <c:v>1.1751084773654692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0.63161852101393545</c:v>
                </c:pt>
                <c:pt idx="1">
                  <c:v>0.68121198861901289</c:v>
                </c:pt>
                <c:pt idx="2">
                  <c:v>0.71780002092768536</c:v>
                </c:pt>
                <c:pt idx="3">
                  <c:v>0.84074874272899702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0.21456419826563333</c:v>
                </c:pt>
                <c:pt idx="1">
                  <c:v>8.8853573127640084E-2</c:v>
                </c:pt>
                <c:pt idx="2">
                  <c:v>-0.14226654293535657</c:v>
                </c:pt>
                <c:pt idx="3">
                  <c:v>-4.898116094541427E-2</c:v>
                </c:pt>
                <c:pt idx="4">
                  <c:v>5.1007813567728766E-2</c:v>
                </c:pt>
                <c:pt idx="5">
                  <c:v>1.8680156518736668E-2</c:v>
                </c:pt>
                <c:pt idx="6">
                  <c:v>4.0510793204916795E-2</c:v>
                </c:pt>
                <c:pt idx="7">
                  <c:v>-3.3846243248857988E-2</c:v>
                </c:pt>
                <c:pt idx="8">
                  <c:v>-2.2390198558070895E-2</c:v>
                </c:pt>
                <c:pt idx="9">
                  <c:v>4.2187408843197272E-4</c:v>
                </c:pt>
                <c:pt idx="10">
                  <c:v>-5.952604477282375E-2</c:v>
                </c:pt>
                <c:pt idx="11">
                  <c:v>-0.50324504130569936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0.21626514845608857</c:v>
                </c:pt>
                <c:pt idx="1">
                  <c:v>0.10251847699042294</c:v>
                </c:pt>
                <c:pt idx="2">
                  <c:v>-0.15004537859115363</c:v>
                </c:pt>
                <c:pt idx="3">
                  <c:v>2.8185327897253587E-2</c:v>
                </c:pt>
                <c:pt idx="4">
                  <c:v>-4.854029462707965E-3</c:v>
                </c:pt>
                <c:pt idx="5">
                  <c:v>4.5816820609669962E-2</c:v>
                </c:pt>
                <c:pt idx="6">
                  <c:v>-9.2996453874251483E-2</c:v>
                </c:pt>
                <c:pt idx="7">
                  <c:v>6.6236960307884729E-2</c:v>
                </c:pt>
                <c:pt idx="8">
                  <c:v>6.1482609051623061E-2</c:v>
                </c:pt>
                <c:pt idx="9">
                  <c:v>1.5597016721983104E-2</c:v>
                </c:pt>
                <c:pt idx="10">
                  <c:v>-3.6733937207330536E-2</c:v>
                </c:pt>
                <c:pt idx="11">
                  <c:v>-0.3715635851902348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0.16463936696916082</c:v>
                </c:pt>
                <c:pt idx="1">
                  <c:v>8.4887593944406481E-2</c:v>
                </c:pt>
                <c:pt idx="2">
                  <c:v>7.0445684204284431E-2</c:v>
                </c:pt>
                <c:pt idx="3">
                  <c:v>-3.7353536138678756E-2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2.8108386250463555</c:v>
                </c:pt>
                <c:pt idx="1">
                  <c:v>2.8377276082991205</c:v>
                </c:pt>
                <c:pt idx="2">
                  <c:v>2.0384124253909679</c:v>
                </c:pt>
                <c:pt idx="3">
                  <c:v>3.1863431528234321</c:v>
                </c:pt>
                <c:pt idx="4">
                  <c:v>3.040390935165235</c:v>
                </c:pt>
                <c:pt idx="5">
                  <c:v>2.8589971414247399</c:v>
                </c:pt>
                <c:pt idx="6">
                  <c:v>3.1674233665802185</c:v>
                </c:pt>
                <c:pt idx="7">
                  <c:v>2.6537345096798872</c:v>
                </c:pt>
                <c:pt idx="8">
                  <c:v>2.6635239152613743</c:v>
                </c:pt>
                <c:pt idx="9">
                  <c:v>2.6475365885010196</c:v>
                </c:pt>
                <c:pt idx="10">
                  <c:v>2.8910257896068376</c:v>
                </c:pt>
                <c:pt idx="11">
                  <c:v>2.9335175460806817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3.3346128996765554</c:v>
                </c:pt>
                <c:pt idx="1">
                  <c:v>2.7880285601103934</c:v>
                </c:pt>
                <c:pt idx="2">
                  <c:v>2.628226692400601</c:v>
                </c:pt>
                <c:pt idx="3">
                  <c:v>3.1012286068270125</c:v>
                </c:pt>
                <c:pt idx="4">
                  <c:v>3.7149206379524586</c:v>
                </c:pt>
                <c:pt idx="5">
                  <c:v>3.9727350397633456</c:v>
                </c:pt>
                <c:pt idx="6">
                  <c:v>3.1606809877580782</c:v>
                </c:pt>
                <c:pt idx="7">
                  <c:v>2.7775991143937429</c:v>
                </c:pt>
                <c:pt idx="8">
                  <c:v>2.6210349517120646</c:v>
                </c:pt>
                <c:pt idx="9">
                  <c:v>2.6846591561939785</c:v>
                </c:pt>
                <c:pt idx="10">
                  <c:v>2.5435671109222264</c:v>
                </c:pt>
                <c:pt idx="11">
                  <c:v>3.113941702910346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3.0723114471419843</c:v>
                </c:pt>
                <c:pt idx="1">
                  <c:v>2.92187806600848</c:v>
                </c:pt>
                <c:pt idx="2">
                  <c:v>2.2422128492849782</c:v>
                </c:pt>
                <c:pt idx="3">
                  <c:v>2.9126309124264758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2.4877593729274032</c:v>
                </c:pt>
                <c:pt idx="1">
                  <c:v>3.1540998390979915</c:v>
                </c:pt>
                <c:pt idx="2">
                  <c:v>2.9151335131597609</c:v>
                </c:pt>
                <c:pt idx="3">
                  <c:v>2.9605686301506915</c:v>
                </c:pt>
                <c:pt idx="4">
                  <c:v>2.759488203554513</c:v>
                </c:pt>
                <c:pt idx="5">
                  <c:v>3.0486639692956592</c:v>
                </c:pt>
                <c:pt idx="6">
                  <c:v>2.7151976316614195</c:v>
                </c:pt>
                <c:pt idx="7">
                  <c:v>2.6898409650351338</c:v>
                </c:pt>
                <c:pt idx="8">
                  <c:v>2.6471631823613757</c:v>
                </c:pt>
                <c:pt idx="9">
                  <c:v>3.2376362981682769</c:v>
                </c:pt>
                <c:pt idx="10">
                  <c:v>3.0846274692195039</c:v>
                </c:pt>
                <c:pt idx="11">
                  <c:v>5.2792533203008523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2.9694725612974091</c:v>
                </c:pt>
                <c:pt idx="1">
                  <c:v>3.0705936209131286</c:v>
                </c:pt>
                <c:pt idx="2">
                  <c:v>2.8173191673339404</c:v>
                </c:pt>
                <c:pt idx="3">
                  <c:v>3.5771505786305093</c:v>
                </c:pt>
                <c:pt idx="4">
                  <c:v>2.8181150932984433</c:v>
                </c:pt>
                <c:pt idx="5">
                  <c:v>3.132206541082919</c:v>
                </c:pt>
                <c:pt idx="6">
                  <c:v>3.164470286647652</c:v>
                </c:pt>
                <c:pt idx="7">
                  <c:v>2.6907552722581176</c:v>
                </c:pt>
                <c:pt idx="8">
                  <c:v>2.7760613009404898</c:v>
                </c:pt>
                <c:pt idx="9">
                  <c:v>3.4332669815064478</c:v>
                </c:pt>
                <c:pt idx="10">
                  <c:v>3.137829126599156</c:v>
                </c:pt>
                <c:pt idx="11">
                  <c:v>4.7080468334119709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3.1753769635249265</c:v>
                </c:pt>
                <c:pt idx="1">
                  <c:v>3.2760321339608298</c:v>
                </c:pt>
                <c:pt idx="2">
                  <c:v>3.3788417407068776</c:v>
                </c:pt>
                <c:pt idx="3">
                  <c:v>3.5115173029128934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0.32307925211895228</c:v>
                </c:pt>
                <c:pt idx="1">
                  <c:v>-0.316372230798871</c:v>
                </c:pt>
                <c:pt idx="2">
                  <c:v>-0.87672108776879298</c:v>
                </c:pt>
                <c:pt idx="3">
                  <c:v>0.22577452267274056</c:v>
                </c:pt>
                <c:pt idx="4">
                  <c:v>0.28090273161072199</c:v>
                </c:pt>
                <c:pt idx="5">
                  <c:v>-0.18966682787091926</c:v>
                </c:pt>
                <c:pt idx="6">
                  <c:v>0.45222573491879903</c:v>
                </c:pt>
                <c:pt idx="7">
                  <c:v>-3.6106455355246592E-2</c:v>
                </c:pt>
                <c:pt idx="8">
                  <c:v>1.636073289999862E-2</c:v>
                </c:pt>
                <c:pt idx="9">
                  <c:v>-0.59009970966725733</c:v>
                </c:pt>
                <c:pt idx="10">
                  <c:v>-0.19360167961266628</c:v>
                </c:pt>
                <c:pt idx="11">
                  <c:v>-2.3457357742201705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0.36514033837914628</c:v>
                </c:pt>
                <c:pt idx="1">
                  <c:v>-0.28256506080273525</c:v>
                </c:pt>
                <c:pt idx="2">
                  <c:v>-0.18909247493333936</c:v>
                </c:pt>
                <c:pt idx="3">
                  <c:v>-0.47592197180349682</c:v>
                </c:pt>
                <c:pt idx="4">
                  <c:v>0.8968055446540153</c:v>
                </c:pt>
                <c:pt idx="5">
                  <c:v>0.84052849868042667</c:v>
                </c:pt>
                <c:pt idx="6">
                  <c:v>-3.7892988895738E-3</c:v>
                </c:pt>
                <c:pt idx="7">
                  <c:v>8.6843842135625238E-2</c:v>
                </c:pt>
                <c:pt idx="8">
                  <c:v>-0.15502634922842518</c:v>
                </c:pt>
                <c:pt idx="9">
                  <c:v>-0.74860782531246928</c:v>
                </c:pt>
                <c:pt idx="10">
                  <c:v>-0.5942620156769296</c:v>
                </c:pt>
                <c:pt idx="11">
                  <c:v>-1.5941051305016249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-0.10306551638294215</c:v>
                </c:pt>
                <c:pt idx="1">
                  <c:v>-0.35415406795234983</c:v>
                </c:pt>
                <c:pt idx="2">
                  <c:v>-1.1366288914218994</c:v>
                </c:pt>
                <c:pt idx="3">
                  <c:v>-0.59888639048641767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1.1781784285363351E-2"/>
                  <c:y val="0.115398257151057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1.4138141142436019E-2"/>
                  <c:y val="5.17302532056463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0"/>
                  <c:y val="1.5917000986352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4.2414423427308064E-2"/>
                  <c:y val="1.1937750739764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'3'!$EG$7:$EG$11</c:f>
              <c:numCache>
                <c:formatCode>#,##0</c:formatCode>
                <c:ptCount val="5"/>
                <c:pt idx="0">
                  <c:v>1155370.0780000002</c:v>
                </c:pt>
                <c:pt idx="1">
                  <c:v>54495.926999999996</c:v>
                </c:pt>
                <c:pt idx="2">
                  <c:v>52597.654999999999</c:v>
                </c:pt>
                <c:pt idx="3">
                  <c:v>134365.99599999998</c:v>
                </c:pt>
                <c:pt idx="4">
                  <c:v>111.245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1.7555858765189759E-2"/>
                  <c:y val="5.1303755521912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'3'!$EG$13:$EG$19</c:f>
              <c:numCache>
                <c:formatCode>#,##0</c:formatCode>
                <c:ptCount val="7"/>
                <c:pt idx="0">
                  <c:v>382157.49400000006</c:v>
                </c:pt>
                <c:pt idx="1">
                  <c:v>158512.44300000009</c:v>
                </c:pt>
                <c:pt idx="2">
                  <c:v>4045.1940000000177</c:v>
                </c:pt>
                <c:pt idx="3">
                  <c:v>419502.04200000002</c:v>
                </c:pt>
                <c:pt idx="4">
                  <c:v>526546.42099999986</c:v>
                </c:pt>
                <c:pt idx="5">
                  <c:v>125464.08299999998</c:v>
                </c:pt>
                <c:pt idx="6">
                  <c:v>36980.418000000005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5450595.2919999994</c:v>
                </c:pt>
                <c:pt idx="1">
                  <c:v>3017954.6485100002</c:v>
                </c:pt>
                <c:pt idx="2">
                  <c:v>1659809.6772299998</c:v>
                </c:pt>
                <c:pt idx="3">
                  <c:v>1323313.04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6228056.3050000006</c:v>
                </c:pt>
                <c:pt idx="1">
                  <c:v>4003173.8518099999</c:v>
                </c:pt>
                <c:pt idx="2">
                  <c:v>1594589.2469399997</c:v>
                </c:pt>
                <c:pt idx="3">
                  <c:v>1204735.442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-1.8530088521451198</c:v>
                </c:pt>
                <c:pt idx="1">
                  <c:v>-2.3481819338743604</c:v>
                </c:pt>
                <c:pt idx="2">
                  <c:v>0.15544706763075156</c:v>
                </c:pt>
                <c:pt idx="3">
                  <c:v>0.28261910897917286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-0.16229102344791174</c:v>
                </c:pt>
                <c:pt idx="2">
                  <c:v>-1.242218894763176</c:v>
                </c:pt>
                <c:pt idx="3">
                  <c:v>-1.8530088521451198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Grafiki!$AA$107:$BZ$107</c:f>
              <c:strCache>
                <c:ptCount val="5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Grafiki!$AA$107:$BZ$107</c:f>
              <c:strCache>
                <c:ptCount val="5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</c:strCache>
            </c:strRef>
          </c:cat>
          <c:val>
            <c:numRef>
              <c:f>Grafiki!$AA$108:$BZ$108</c:f>
              <c:numCache>
                <c:formatCode>0.0</c:formatCode>
                <c:ptCount val="52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Grafiki!$AA$132:$BZ$132</c:f>
              <c:strCache>
                <c:ptCount val="5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Grafiki!$AA$132:$BZ$132</c:f>
              <c:strCache>
                <c:ptCount val="5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</c:strCache>
            </c:strRef>
          </c:cat>
          <c:val>
            <c:numRef>
              <c:f>Grafiki!$AA$133:$BZ$133</c:f>
              <c:numCache>
                <c:formatCode>0.0</c:formatCode>
                <c:ptCount val="52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1102681.6340000001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3.7971836209481009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lv.sharepoint.com/sites/FDP/Koplietojamie%20dokumenti/2_Fiskala_politika/Dati_Valsts_kase_bilances/2024/2024_12/1Gada_korek_FDP_1_21_xxx_20250122_VK_Bilances_ikmenesa_2024_12.xlsx" TargetMode="External"/><Relationship Id="rId1" Type="http://schemas.openxmlformats.org/officeDocument/2006/relationships/externalLinkPath" Target="/sites/FDP/Koplietojamie%20dokumenti/2_Fiskala_politika/Dati_Valsts_kase_bilances/2024/2024_12/1Gada_korek_FDP_1_21_xxx_20250122_VK_Bilances_ikmenesa_2024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turs_Content"/>
      <sheetName val="1"/>
      <sheetName val="2"/>
      <sheetName val="3"/>
      <sheetName val="4"/>
      <sheetName val="5"/>
      <sheetName val="Grafiki"/>
      <sheetName val="Iznakums"/>
      <sheetName val="6"/>
    </sheetNames>
    <sheetDataSet>
      <sheetData sheetId="0"/>
      <sheetData sheetId="1"/>
      <sheetData sheetId="2">
        <row r="561">
          <cell r="D561">
            <v>32285300</v>
          </cell>
          <cell r="F561">
            <v>36103656</v>
          </cell>
          <cell r="H561">
            <v>39072483</v>
          </cell>
          <cell r="I561">
            <v>40019000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223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224</v>
      </c>
      <c r="C8" s="2" t="s">
        <v>80</v>
      </c>
    </row>
    <row r="9" spans="1:3">
      <c r="A9" s="44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44">
        <v>5</v>
      </c>
      <c r="B11" s="2" t="s">
        <v>76</v>
      </c>
      <c r="C11" s="2" t="s">
        <v>81</v>
      </c>
    </row>
    <row r="12" spans="1:3" hidden="1">
      <c r="A12" s="44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T43"/>
  <sheetViews>
    <sheetView zoomScale="80" zoomScaleNormal="80" zoomScaleSheetLayoutView="85" workbookViewId="0">
      <pane xSplit="1" topLeftCell="CI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91" width="13.33203125" style="59" customWidth="1"/>
    <col min="92" max="92" width="17.33203125" style="59" customWidth="1"/>
    <col min="93" max="96" width="13.88671875" style="59" customWidth="1"/>
    <col min="97" max="97" width="18" style="59" customWidth="1"/>
    <col min="98" max="16384" width="9.109375" style="59"/>
  </cols>
  <sheetData>
    <row r="1" spans="1:98" s="48" customFormat="1">
      <c r="A1" s="47" t="s">
        <v>0</v>
      </c>
    </row>
    <row r="2" spans="1:98" s="48" customFormat="1" ht="12.75" customHeight="1">
      <c r="A2" s="49" t="s">
        <v>86</v>
      </c>
    </row>
    <row r="3" spans="1:98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8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3">
        <v>44964</v>
      </c>
      <c r="CB4" s="188">
        <v>45292</v>
      </c>
      <c r="CC4" s="124">
        <v>45323</v>
      </c>
      <c r="CD4" s="124">
        <v>45352</v>
      </c>
      <c r="CE4" s="124">
        <v>45383</v>
      </c>
      <c r="CF4" s="188">
        <v>45413</v>
      </c>
      <c r="CG4" s="124">
        <v>45444</v>
      </c>
      <c r="CH4" s="188">
        <v>45474</v>
      </c>
      <c r="CI4" s="124">
        <v>45505</v>
      </c>
      <c r="CJ4" s="188">
        <v>45536</v>
      </c>
      <c r="CK4" s="124">
        <v>45566</v>
      </c>
      <c r="CL4" s="188">
        <v>45597</v>
      </c>
      <c r="CM4" s="124">
        <v>45627</v>
      </c>
      <c r="CN4" s="257">
        <v>45269</v>
      </c>
      <c r="CO4" s="266">
        <v>45658</v>
      </c>
      <c r="CP4" s="124">
        <v>45689</v>
      </c>
      <c r="CQ4" s="124">
        <v>45717</v>
      </c>
      <c r="CR4" s="124">
        <v>45748</v>
      </c>
      <c r="CS4" s="271">
        <v>45632</v>
      </c>
    </row>
    <row r="5" spans="1:98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N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8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8">
        <f t="shared" si="3"/>
        <v>2.6026494811067562</v>
      </c>
      <c r="BZ5" s="202">
        <f t="shared" si="3"/>
        <v>-0.36040521137337389</v>
      </c>
      <c r="CA5" s="194">
        <v>-0.50000000000000044</v>
      </c>
      <c r="CB5" s="189">
        <f t="shared" si="3"/>
        <v>4.3072061715234922</v>
      </c>
      <c r="CC5" s="134">
        <f t="shared" si="3"/>
        <v>4.1259973277369673</v>
      </c>
      <c r="CD5" s="134">
        <f t="shared" si="3"/>
        <v>3.7795640859964621</v>
      </c>
      <c r="CE5" s="134">
        <f t="shared" si="3"/>
        <v>2.4592479071551065</v>
      </c>
      <c r="CF5" s="134">
        <f t="shared" si="3"/>
        <v>3.3280122654775548</v>
      </c>
      <c r="CG5" s="134">
        <f t="shared" si="3"/>
        <v>4.200382465944184</v>
      </c>
      <c r="CH5" s="134">
        <f t="shared" si="3"/>
        <v>4.1655710852939567</v>
      </c>
      <c r="CI5" s="134">
        <f t="shared" si="3"/>
        <v>4.3149717799947709</v>
      </c>
      <c r="CJ5" s="134">
        <f t="shared" si="3"/>
        <v>4.0626739091240074</v>
      </c>
      <c r="CK5" s="134">
        <f t="shared" si="3"/>
        <v>3.3279142987660815</v>
      </c>
      <c r="CL5" s="134">
        <f t="shared" si="3"/>
        <v>2.1955402842457348</v>
      </c>
      <c r="CM5" s="134">
        <f t="shared" si="3"/>
        <v>0.3271187885835013</v>
      </c>
      <c r="CN5" s="258">
        <f t="shared" si="3"/>
        <v>-0.50000000000000011</v>
      </c>
      <c r="CO5" s="323">
        <f t="shared" ref="CO5:CR5" si="7">CO8-CO7-CO6</f>
        <v>3.9337974861827334</v>
      </c>
      <c r="CP5" s="134">
        <f>CP8-CP7-CP6</f>
        <v>3.6826856382281794</v>
      </c>
      <c r="CQ5" s="134">
        <f t="shared" si="7"/>
        <v>2.2488606951357903</v>
      </c>
      <c r="CR5" s="324">
        <f t="shared" si="7"/>
        <v>1.6380707377538466</v>
      </c>
      <c r="CS5" s="272">
        <f>CS8-CS7-CS6</f>
        <v>-0.81657285635673282</v>
      </c>
    </row>
    <row r="6" spans="1:98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76">
        <v>-0.78802374627226168</v>
      </c>
      <c r="BP6" s="176">
        <v>-0.78802374627226168</v>
      </c>
      <c r="BQ6" s="176">
        <v>-0.54836496937869228</v>
      </c>
      <c r="BR6" s="176">
        <v>-0.54836496937869228</v>
      </c>
      <c r="BS6" s="176">
        <v>-0.54836496937869228</v>
      </c>
      <c r="BT6" s="176">
        <v>-0.54836496937869228</v>
      </c>
      <c r="BU6" s="176">
        <v>-0.54836496937869228</v>
      </c>
      <c r="BV6" s="176">
        <v>-0.54836496937869228</v>
      </c>
      <c r="BW6" s="176">
        <v>-0.54836496937869228</v>
      </c>
      <c r="BX6" s="176">
        <v>-0.45704053788545018</v>
      </c>
      <c r="BY6" s="176">
        <v>-0.45704053788545018</v>
      </c>
      <c r="BZ6" s="10">
        <v>-0.45704053788545018</v>
      </c>
      <c r="CA6" s="195">
        <v>-0.78802374627226168</v>
      </c>
      <c r="CB6" s="176">
        <v>-0.47791875442155318</v>
      </c>
      <c r="CC6" s="176">
        <v>-0.47791875442155318</v>
      </c>
      <c r="CD6" s="176">
        <v>-0.47791875442155318</v>
      </c>
      <c r="CE6" s="176">
        <v>-0.40280090300794713</v>
      </c>
      <c r="CF6" s="176">
        <v>-0.40280090300794713</v>
      </c>
      <c r="CG6" s="176">
        <v>-0.40280090300794713</v>
      </c>
      <c r="CH6" s="176">
        <v>-0.40280090300794713</v>
      </c>
      <c r="CI6" s="176">
        <v>-0.40280090300794702</v>
      </c>
      <c r="CJ6" s="176">
        <v>-0.68675541365813209</v>
      </c>
      <c r="CK6" s="176">
        <v>-0.68675541365813209</v>
      </c>
      <c r="CL6" s="176">
        <v>-0.68675541365813209</v>
      </c>
      <c r="CM6" s="176">
        <v>-0.68675541365813209</v>
      </c>
      <c r="CN6" s="259">
        <v>-0.47791875442155318</v>
      </c>
      <c r="CO6" s="267">
        <v>-0.4301539926808372</v>
      </c>
      <c r="CP6" s="176">
        <v>-0.4301539926808372</v>
      </c>
      <c r="CQ6" s="176">
        <v>-0.58488921815615469</v>
      </c>
      <c r="CR6" s="176">
        <v>-0.58488921815615469</v>
      </c>
      <c r="CS6" s="273">
        <v>-0.4301539926808372</v>
      </c>
    </row>
    <row r="7" spans="1:98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76">
        <v>-2.9708895409886709</v>
      </c>
      <c r="BP7" s="176">
        <v>-2.9708895409886709</v>
      </c>
      <c r="BQ7" s="176">
        <v>-2.995378348464881</v>
      </c>
      <c r="BR7" s="176">
        <v>-2.995378348464881</v>
      </c>
      <c r="BS7" s="176">
        <v>-2.995378348464881</v>
      </c>
      <c r="BT7" s="176">
        <v>-2.995378348464881</v>
      </c>
      <c r="BU7" s="176">
        <v>-2.995378348464881</v>
      </c>
      <c r="BV7" s="176">
        <v>-2.995378348464881</v>
      </c>
      <c r="BW7" s="176">
        <v>-2.995378348464881</v>
      </c>
      <c r="BX7" s="176">
        <v>-2.4572938888662512</v>
      </c>
      <c r="BY7" s="176">
        <v>-2.4572938888662512</v>
      </c>
      <c r="BZ7" s="10">
        <v>-2.4572938888662512</v>
      </c>
      <c r="CA7" s="195">
        <v>-2.9708895409886709</v>
      </c>
      <c r="CB7" s="176">
        <v>-1.9489554971856202</v>
      </c>
      <c r="CC7" s="176">
        <v>-1.9489554971856202</v>
      </c>
      <c r="CD7" s="176">
        <v>-1.9489554971856202</v>
      </c>
      <c r="CE7" s="176">
        <v>-1.6507712450089362</v>
      </c>
      <c r="CF7" s="176">
        <v>-1.6507712450089362</v>
      </c>
      <c r="CG7" s="176">
        <v>-1.6507712450089362</v>
      </c>
      <c r="CH7" s="176">
        <v>-1.6507712450089362</v>
      </c>
      <c r="CI7" s="176">
        <v>-1.65077124500894</v>
      </c>
      <c r="CJ7" s="176">
        <v>-1.6749241399898953</v>
      </c>
      <c r="CK7" s="176">
        <v>-1.6749241399898953</v>
      </c>
      <c r="CL7" s="176">
        <v>-1.7534003648267071</v>
      </c>
      <c r="CM7" s="176">
        <v>-1.7534003648267071</v>
      </c>
      <c r="CN7" s="259">
        <v>-1.9489554971856202</v>
      </c>
      <c r="CO7" s="267">
        <v>-1.74389165563438</v>
      </c>
      <c r="CP7" s="176">
        <v>-1.74389165563438</v>
      </c>
      <c r="CQ7" s="176">
        <v>-1.8042794471669146</v>
      </c>
      <c r="CR7" s="176">
        <v>-1.8042794471669146</v>
      </c>
      <c r="CS7" s="273">
        <v>-1.74389165563438</v>
      </c>
    </row>
    <row r="8" spans="1:98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10">
        <f>BO9/'2'!$G561*100</f>
        <v>1.1509338277132621</v>
      </c>
      <c r="BP8" s="211">
        <f>BP9/'2'!$G561*100</f>
        <v>0.95712089547652746</v>
      </c>
      <c r="BQ8" s="210">
        <f>BQ9/'2'!$G561*100</f>
        <v>-0.49150790421070273</v>
      </c>
      <c r="BR8" s="210">
        <f>BR9/'2'!$G561*100</f>
        <v>-0.25513810401141601</v>
      </c>
      <c r="BS8" s="210">
        <f>BS9/'2'!$G561*100</f>
        <v>4.4271802955593763E-2</v>
      </c>
      <c r="BT8" s="169">
        <f>BT9/'2'!$G561*100</f>
        <v>-0.16819759910416629</v>
      </c>
      <c r="BU8" s="210">
        <f>BU9/'2'!$G561*100</f>
        <v>0.41019256616892663</v>
      </c>
      <c r="BV8" s="210">
        <f>BV9/'2'!$G561*100</f>
        <v>0.3604503882786691</v>
      </c>
      <c r="BW8" s="210">
        <f>BW9/'2'!$G561*100</f>
        <v>0.33400085344876168</v>
      </c>
      <c r="BX8" s="212">
        <f>BX9/'2'!$G561*100</f>
        <v>-1.2204615715575559E-2</v>
      </c>
      <c r="BY8" s="213">
        <f>BY9/'2'!$G561*100</f>
        <v>-0.31168494564494509</v>
      </c>
      <c r="BZ8" s="214">
        <f>BZ9/'2'!$G561*100</f>
        <v>-3.2747396381250753</v>
      </c>
      <c r="CA8" s="196">
        <v>-4.258913287260933</v>
      </c>
      <c r="CB8" s="190">
        <f>CB9/'2'!$I$561*100</f>
        <v>1.8803319199163189</v>
      </c>
      <c r="CC8" s="180">
        <f>CC9/'2'!$I$561*100</f>
        <v>1.6991230761297933</v>
      </c>
      <c r="CD8" s="180">
        <f>CD9/'2'!$I$561*100</f>
        <v>1.3526898343892888</v>
      </c>
      <c r="CE8" s="180">
        <f>CE9/'2'!$I$561*100</f>
        <v>0.40567575913822301</v>
      </c>
      <c r="CF8" s="180">
        <f>CF9/'2'!$I$561*100</f>
        <v>1.2744401174606714</v>
      </c>
      <c r="CG8" s="180">
        <f>CG9/'2'!$I$561*100</f>
        <v>2.1468103179273008</v>
      </c>
      <c r="CH8" s="180">
        <f>CH9/'2'!$I$561*100</f>
        <v>2.1119989372770727</v>
      </c>
      <c r="CI8" s="180">
        <f>CI9/'2'!$I$561*100</f>
        <v>2.2613996319778842</v>
      </c>
      <c r="CJ8" s="180">
        <f>CJ9/'2'!$I$561*100</f>
        <v>1.7009943554759797</v>
      </c>
      <c r="CK8" s="180">
        <f>CK9/'2'!$I$561*100</f>
        <v>0.96623474511805429</v>
      </c>
      <c r="CL8" s="180">
        <f>CL9/'2'!$I$561*100</f>
        <v>-0.24461549423910461</v>
      </c>
      <c r="CM8" s="180">
        <f>CM9/'2'!$I$561*100</f>
        <v>-2.1130369899013379</v>
      </c>
      <c r="CN8" s="258">
        <v>-2.9268742516071735</v>
      </c>
      <c r="CO8" s="268">
        <f>CO9/'2'!$J$561*100</f>
        <v>1.7597518378675161</v>
      </c>
      <c r="CP8" s="180">
        <f>CP9/'2'!$J$561*100</f>
        <v>1.5086399899129619</v>
      </c>
      <c r="CQ8" s="180">
        <f>CQ9/'2'!$J$561*100</f>
        <v>-0.1403079701872787</v>
      </c>
      <c r="CR8" s="322">
        <f>CR9/'2'!$J$561*100</f>
        <v>-0.75109792756922256</v>
      </c>
      <c r="CS8" s="272">
        <v>-2.99061850467195</v>
      </c>
    </row>
    <row r="9" spans="1:98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8">N11+N10</f>
        <v>-265343.64779140998</v>
      </c>
      <c r="O9" s="80">
        <f t="shared" si="8"/>
        <v>5253.3769999999786</v>
      </c>
      <c r="P9" s="11">
        <f t="shared" si="8"/>
        <v>114068.52000000002</v>
      </c>
      <c r="Q9" s="11">
        <f t="shared" si="8"/>
        <v>32259.908000000287</v>
      </c>
      <c r="R9" s="11">
        <f t="shared" si="8"/>
        <v>104632.46700000064</v>
      </c>
      <c r="S9" s="11">
        <f t="shared" si="8"/>
        <v>346018.86699999962</v>
      </c>
      <c r="T9" s="11">
        <f t="shared" si="8"/>
        <v>510816</v>
      </c>
      <c r="U9" s="11">
        <f t="shared" si="8"/>
        <v>759266.04735589121</v>
      </c>
      <c r="V9" s="11">
        <f t="shared" si="8"/>
        <v>758956.25735589117</v>
      </c>
      <c r="W9" s="11">
        <f t="shared" si="8"/>
        <v>675381.96535589057</v>
      </c>
      <c r="X9" s="11">
        <f t="shared" si="8"/>
        <v>597767.68735589064</v>
      </c>
      <c r="Y9" s="11">
        <f t="shared" si="8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9">AE11+AE10</f>
        <v>61805.645300997334</v>
      </c>
      <c r="AF9" s="11">
        <f t="shared" si="9"/>
        <v>131842.92130099787</v>
      </c>
      <c r="AG9" s="11">
        <f t="shared" si="9"/>
        <v>-58270.079699002294</v>
      </c>
      <c r="AH9" s="11">
        <f t="shared" si="9"/>
        <v>-354831.03500000108</v>
      </c>
      <c r="AI9" s="11">
        <f t="shared" si="9"/>
        <v>-401154.80899999943</v>
      </c>
      <c r="AJ9" s="11">
        <f t="shared" si="9"/>
        <v>-531108.22400000133</v>
      </c>
      <c r="AK9" s="11">
        <f t="shared" si="9"/>
        <v>-770895.67699999921</v>
      </c>
      <c r="AL9" s="11">
        <f t="shared" si="9"/>
        <v>-902299.11799999885</v>
      </c>
      <c r="AM9" s="11">
        <f t="shared" si="9"/>
        <v>-1509893.834999999</v>
      </c>
      <c r="AN9" s="83">
        <f t="shared" si="9"/>
        <v>-111251.96103110429</v>
      </c>
      <c r="AO9" s="11">
        <f t="shared" ref="AO9:AV9" si="10">AO11+AO10</f>
        <v>251157.39800000028</v>
      </c>
      <c r="AP9" s="11">
        <f t="shared" si="10"/>
        <v>181120.49600000004</v>
      </c>
      <c r="AQ9" s="11">
        <f t="shared" si="10"/>
        <v>-445187.27000000048</v>
      </c>
      <c r="AR9" s="11">
        <f t="shared" si="10"/>
        <v>-653783.77552196721</v>
      </c>
      <c r="AS9" s="11">
        <f t="shared" si="10"/>
        <v>-610081.73952196923</v>
      </c>
      <c r="AT9" s="11">
        <f t="shared" si="10"/>
        <v>-933333.17652196728</v>
      </c>
      <c r="AU9" s="11">
        <f>AU11+AU10</f>
        <v>-852682.47052196704</v>
      </c>
      <c r="AV9" s="11">
        <f t="shared" si="10"/>
        <v>-821738.40164883784</v>
      </c>
      <c r="AW9" s="11">
        <f t="shared" ref="AW9:BN9" si="11">AW11+AW10</f>
        <v>-791278.33964883792</v>
      </c>
      <c r="AX9" s="11">
        <f t="shared" si="11"/>
        <v>-971744.78264883789</v>
      </c>
      <c r="AY9" s="11">
        <f t="shared" si="11"/>
        <v>-1078858.2376488361</v>
      </c>
      <c r="AZ9" s="11">
        <f t="shared" si="11"/>
        <v>-1875376.0656488396</v>
      </c>
      <c r="BA9" s="83">
        <f t="shared" si="11"/>
        <v>-1185032.6436968893</v>
      </c>
      <c r="BB9" s="11">
        <f t="shared" si="11"/>
        <v>563316.44985997817</v>
      </c>
      <c r="BC9" s="11">
        <f t="shared" ref="BC9:BD9" si="12">BC11+BC10</f>
        <v>555113.49985997775</v>
      </c>
      <c r="BD9" s="11">
        <f t="shared" si="12"/>
        <v>-336734.36059912737</v>
      </c>
      <c r="BE9" s="11">
        <f t="shared" ref="BE9:BF9" si="13">BE11+BE10</f>
        <v>-283595.52359912661</v>
      </c>
      <c r="BF9" s="11">
        <f t="shared" si="13"/>
        <v>-366149.29159912583</v>
      </c>
      <c r="BG9" s="11">
        <f t="shared" ref="BG9:BM9" si="14">BG11+BG10</f>
        <v>-428125.98559912597</v>
      </c>
      <c r="BH9" s="11">
        <f t="shared" si="14"/>
        <v>-299265.97059912817</v>
      </c>
      <c r="BI9" s="11">
        <f t="shared" si="14"/>
        <v>-181924.80959912692</v>
      </c>
      <c r="BJ9" s="11">
        <f t="shared" si="14"/>
        <v>-532792.6009805284</v>
      </c>
      <c r="BK9" s="11">
        <f t="shared" ref="BK9" si="15">BK11+BK10</f>
        <v>-747663.06698052841</v>
      </c>
      <c r="BL9" s="11">
        <f t="shared" si="14"/>
        <v>-923866.5630927803</v>
      </c>
      <c r="BM9" s="11">
        <f t="shared" si="14"/>
        <v>-1775169.5080927787</v>
      </c>
      <c r="BN9" s="83">
        <f t="shared" si="11"/>
        <v>-1620911.8272229403</v>
      </c>
      <c r="BO9" s="11">
        <f t="shared" ref="BO9:CN9" si="16">BO11+BO10</f>
        <v>449698.42417451367</v>
      </c>
      <c r="BP9" s="11">
        <f t="shared" si="16"/>
        <v>373970.89917451399</v>
      </c>
      <c r="BQ9" s="11">
        <f t="shared" si="16"/>
        <v>-192044.34231638312</v>
      </c>
      <c r="BR9" s="11">
        <f t="shared" si="16"/>
        <v>-99688.792316382838</v>
      </c>
      <c r="BS9" s="11">
        <f t="shared" si="16"/>
        <v>17298.09268361787</v>
      </c>
      <c r="BT9" s="11">
        <f t="shared" si="16"/>
        <v>-65718.978316383524</v>
      </c>
      <c r="BU9" s="11">
        <f t="shared" si="16"/>
        <v>160272.42068361762</v>
      </c>
      <c r="BV9" s="11">
        <f t="shared" si="16"/>
        <v>140836.91668361696</v>
      </c>
      <c r="BW9" s="11">
        <f t="shared" si="16"/>
        <v>130502.42668362233</v>
      </c>
      <c r="BX9" s="11">
        <f t="shared" si="16"/>
        <v>-4768.6464006835886</v>
      </c>
      <c r="BY9" s="127">
        <f t="shared" si="16"/>
        <v>-121783.0474006804</v>
      </c>
      <c r="BZ9" s="11">
        <f t="shared" si="16"/>
        <v>-1279522.0884006815</v>
      </c>
      <c r="CA9" s="197">
        <v>-1772387.168215208</v>
      </c>
      <c r="CB9" s="252">
        <f t="shared" si="16"/>
        <v>756051.15404780279</v>
      </c>
      <c r="CC9" s="11">
        <f t="shared" si="16"/>
        <v>683189.99904780276</v>
      </c>
      <c r="CD9" s="11">
        <f t="shared" si="16"/>
        <v>543894.77704780269</v>
      </c>
      <c r="CE9" s="11">
        <f t="shared" si="16"/>
        <v>163115.68325624216</v>
      </c>
      <c r="CF9" s="11">
        <f t="shared" ref="CF9:CM9" si="17">CF11+CF10</f>
        <v>512431.82725624251</v>
      </c>
      <c r="CG9" s="11">
        <f t="shared" si="17"/>
        <v>863197.82225624262</v>
      </c>
      <c r="CH9" s="11">
        <f t="shared" si="17"/>
        <v>849200.72725624195</v>
      </c>
      <c r="CI9" s="11">
        <f t="shared" si="17"/>
        <v>909272.33825623966</v>
      </c>
      <c r="CJ9" s="11">
        <f t="shared" si="17"/>
        <v>683942.41030788119</v>
      </c>
      <c r="CK9" s="11">
        <f t="shared" si="17"/>
        <v>388507.41530787828</v>
      </c>
      <c r="CL9" s="11">
        <f t="shared" si="17"/>
        <v>-98355.947031776828</v>
      </c>
      <c r="CM9" s="11">
        <f t="shared" si="17"/>
        <v>-849618.11148305063</v>
      </c>
      <c r="CN9" s="260">
        <f t="shared" si="16"/>
        <v>-1279658.3315528207</v>
      </c>
      <c r="CO9" s="330">
        <f t="shared" ref="CO9:CS9" si="18">CO11+CO10</f>
        <v>738333.46500923578</v>
      </c>
      <c r="CP9" s="11">
        <f t="shared" si="18"/>
        <v>632975.26800923538</v>
      </c>
      <c r="CQ9" s="11">
        <f t="shared" si="18"/>
        <v>-58868.567469332658</v>
      </c>
      <c r="CR9" s="331">
        <f t="shared" si="18"/>
        <v>-315135.76146933419</v>
      </c>
      <c r="CS9" s="274">
        <f t="shared" si="18"/>
        <v>-1282817.140457555</v>
      </c>
    </row>
    <row r="10" spans="1:98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75">
        <v>226659.05617451368</v>
      </c>
      <c r="BP10" s="175">
        <v>226659.05617451368</v>
      </c>
      <c r="BQ10" s="175">
        <v>72024.283683617512</v>
      </c>
      <c r="BR10" s="175">
        <v>72024.283683617512</v>
      </c>
      <c r="BS10" s="175">
        <v>72024.283683617512</v>
      </c>
      <c r="BT10" s="175">
        <v>72024.283683617512</v>
      </c>
      <c r="BU10" s="175">
        <v>72024.283683617512</v>
      </c>
      <c r="BV10" s="175">
        <v>72024.283683617512</v>
      </c>
      <c r="BW10" s="175">
        <v>72024.283683617512</v>
      </c>
      <c r="BX10" s="175">
        <v>143391.70159931944</v>
      </c>
      <c r="BY10" s="175">
        <v>143391.70159931944</v>
      </c>
      <c r="BZ10" s="11">
        <v>143391.70159931944</v>
      </c>
      <c r="CA10" s="198">
        <v>226659.59001452269</v>
      </c>
      <c r="CB10" s="174">
        <f>502.319003047803*1000</f>
        <v>502319.00304780301</v>
      </c>
      <c r="CC10" s="174">
        <f>502.319003047803*1000</f>
        <v>502319.00304780301</v>
      </c>
      <c r="CD10" s="174">
        <f>502.319003047803*1000</f>
        <v>502319.00304780301</v>
      </c>
      <c r="CE10" s="174">
        <f>259.195807256242*1000</f>
        <v>259195.807256242</v>
      </c>
      <c r="CF10" s="174">
        <f>259.195807256242*1000</f>
        <v>259195.807256242</v>
      </c>
      <c r="CG10" s="174">
        <f>259.195807256242*1000</f>
        <v>259195.807256242</v>
      </c>
      <c r="CH10" s="174">
        <f>259.195807256242*1000</f>
        <v>259195.807256242</v>
      </c>
      <c r="CI10" s="174">
        <f>259.195807256242*1000</f>
        <v>259195.807256242</v>
      </c>
      <c r="CJ10" s="174">
        <f>76.8602413078814*1000</f>
        <v>76860.241307881399</v>
      </c>
      <c r="CK10" s="174">
        <f>76.8602413078814*1000</f>
        <v>76860.241307881399</v>
      </c>
      <c r="CL10" s="174">
        <f>-167.847691031774*1000</f>
        <v>-167847.69103177398</v>
      </c>
      <c r="CM10" s="174">
        <f>-116.493281483045*1000</f>
        <v>-116493.28148304499</v>
      </c>
      <c r="CN10" s="260">
        <f>502.319003047803*1000</f>
        <v>502319.00304780301</v>
      </c>
      <c r="CO10" s="245">
        <v>701067.19500923599</v>
      </c>
      <c r="CP10" s="174">
        <v>701067.19500923599</v>
      </c>
      <c r="CQ10" s="174">
        <v>462325.25153066701</v>
      </c>
      <c r="CR10" s="174">
        <v>462325.25153066701</v>
      </c>
      <c r="CS10" s="274">
        <f>701.067195009236*1000</f>
        <v>701067.19500923599</v>
      </c>
    </row>
    <row r="11" spans="1:98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9">O12-O18</f>
        <v>173648.37699999998</v>
      </c>
      <c r="P11" s="6">
        <f t="shared" si="19"/>
        <v>282463.52</v>
      </c>
      <c r="Q11" s="6">
        <f t="shared" si="19"/>
        <v>200654.90800000029</v>
      </c>
      <c r="R11" s="6">
        <f t="shared" si="19"/>
        <v>273027.46700000064</v>
      </c>
      <c r="S11" s="6">
        <f t="shared" si="19"/>
        <v>514413.86699999962</v>
      </c>
      <c r="T11" s="6">
        <f t="shared" si="19"/>
        <v>679211</v>
      </c>
      <c r="U11" s="6">
        <f t="shared" si="19"/>
        <v>597157.32500000019</v>
      </c>
      <c r="V11" s="6">
        <f t="shared" si="19"/>
        <v>596847.53500000015</v>
      </c>
      <c r="W11" s="6">
        <f t="shared" si="19"/>
        <v>521599.5139999995</v>
      </c>
      <c r="X11" s="6">
        <f t="shared" si="19"/>
        <v>443985.23599999957</v>
      </c>
      <c r="Y11" s="6">
        <f t="shared" si="19"/>
        <v>304824.027999999</v>
      </c>
      <c r="Z11" s="6">
        <f t="shared" si="19"/>
        <v>-117615.97699999809</v>
      </c>
      <c r="AA11" s="87">
        <v>-271100</v>
      </c>
      <c r="AB11" s="6">
        <f t="shared" si="19"/>
        <v>111895.87100000004</v>
      </c>
      <c r="AC11" s="6">
        <f t="shared" si="19"/>
        <v>215606.53399999999</v>
      </c>
      <c r="AD11" s="116">
        <v>71313.477999999188</v>
      </c>
      <c r="AE11" s="6">
        <f t="shared" si="19"/>
        <v>-11309.275000000373</v>
      </c>
      <c r="AF11" s="6">
        <f t="shared" ref="AF11:AK11" si="20">AF12-AF18</f>
        <v>58727.001000000164</v>
      </c>
      <c r="AG11" s="6">
        <f t="shared" si="20"/>
        <v>-131386</v>
      </c>
      <c r="AH11" s="6">
        <f t="shared" si="20"/>
        <v>6168.9649999989197</v>
      </c>
      <c r="AI11" s="6">
        <f t="shared" si="20"/>
        <v>-40154.808999999426</v>
      </c>
      <c r="AJ11" s="6">
        <f t="shared" si="20"/>
        <v>-170108.22400000133</v>
      </c>
      <c r="AK11" s="6">
        <f t="shared" si="20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N11" si="21">AO12-AO18</f>
        <v>170157.39800000028</v>
      </c>
      <c r="AP11" s="6">
        <f t="shared" si="21"/>
        <v>100119.49600000004</v>
      </c>
      <c r="AQ11" s="6">
        <f t="shared" si="21"/>
        <v>-526188.27000000048</v>
      </c>
      <c r="AR11" s="6">
        <f t="shared" si="21"/>
        <v>-673998.57499999972</v>
      </c>
      <c r="AS11" s="6">
        <f t="shared" si="21"/>
        <v>-630296.53900000174</v>
      </c>
      <c r="AT11" s="6">
        <f t="shared" si="21"/>
        <v>-953547.97599999979</v>
      </c>
      <c r="AU11" s="6">
        <f t="shared" si="21"/>
        <v>-872897.26999999955</v>
      </c>
      <c r="AV11" s="6">
        <f t="shared" si="21"/>
        <v>-864679.34100000095</v>
      </c>
      <c r="AW11" s="6">
        <f t="shared" si="21"/>
        <v>-744219.27900000103</v>
      </c>
      <c r="AX11" s="6">
        <f t="shared" si="21"/>
        <v>-924686.722000001</v>
      </c>
      <c r="AY11" s="6">
        <f t="shared" si="21"/>
        <v>-1031801.1769999992</v>
      </c>
      <c r="AZ11" s="6">
        <f t="shared" si="21"/>
        <v>-1828320.0050000027</v>
      </c>
      <c r="BA11" s="87">
        <f t="shared" si="21"/>
        <v>-1266032.6436968893</v>
      </c>
      <c r="BB11" s="6">
        <f t="shared" si="21"/>
        <v>218389.09100000025</v>
      </c>
      <c r="BC11" s="6">
        <f t="shared" ref="BC11" si="22">BC12-BC18</f>
        <v>210185.14099999983</v>
      </c>
      <c r="BD11" s="6">
        <f t="shared" ref="BD11:CG11" si="23">BD12-BD18</f>
        <v>-135684.59600000037</v>
      </c>
      <c r="BE11" s="6">
        <f t="shared" si="23"/>
        <v>-82545.758999999613</v>
      </c>
      <c r="BF11" s="6">
        <f t="shared" si="23"/>
        <v>-165099.52699999884</v>
      </c>
      <c r="BG11" s="6">
        <f t="shared" si="23"/>
        <v>-227076.22099999897</v>
      </c>
      <c r="BH11" s="6">
        <f t="shared" si="23"/>
        <v>-98216.20600000117</v>
      </c>
      <c r="BI11" s="129">
        <f t="shared" si="23"/>
        <v>19124.955000000075</v>
      </c>
      <c r="BJ11" s="6">
        <f t="shared" si="21"/>
        <v>-315094.5540000014</v>
      </c>
      <c r="BK11" s="6">
        <f t="shared" si="23"/>
        <v>-529965.02000000142</v>
      </c>
      <c r="BL11" s="6">
        <f t="shared" ref="BL11" si="24">BL12-BL18</f>
        <v>-599385.29700000025</v>
      </c>
      <c r="BM11" s="6">
        <f t="shared" si="23"/>
        <v>-1450688.2419999987</v>
      </c>
      <c r="BN11" s="87">
        <f t="shared" si="21"/>
        <v>-1965839.1860829182</v>
      </c>
      <c r="BO11" s="85">
        <f t="shared" si="23"/>
        <v>223039.36800000002</v>
      </c>
      <c r="BP11" s="170">
        <f t="shared" si="23"/>
        <v>147311.84300000034</v>
      </c>
      <c r="BQ11" s="6">
        <f t="shared" si="23"/>
        <v>-264068.62600000063</v>
      </c>
      <c r="BR11" s="6">
        <f t="shared" si="23"/>
        <v>-171713.07600000035</v>
      </c>
      <c r="BS11" s="6">
        <f t="shared" si="23"/>
        <v>-54726.190999999642</v>
      </c>
      <c r="BT11" s="6">
        <f t="shared" si="23"/>
        <v>-137743.26200000104</v>
      </c>
      <c r="BU11" s="6">
        <f t="shared" si="23"/>
        <v>88248.137000000104</v>
      </c>
      <c r="BV11" s="6">
        <f t="shared" si="23"/>
        <v>68812.632999999449</v>
      </c>
      <c r="BW11" s="6">
        <f t="shared" si="23"/>
        <v>58478.143000004813</v>
      </c>
      <c r="BX11" s="6">
        <f t="shared" si="23"/>
        <v>-148160.34800000302</v>
      </c>
      <c r="BY11" s="170">
        <f t="shared" si="23"/>
        <v>-265174.74899999984</v>
      </c>
      <c r="BZ11" s="6">
        <f t="shared" si="23"/>
        <v>-1422913.790000001</v>
      </c>
      <c r="CA11" s="199">
        <v>-1999046.7582297307</v>
      </c>
      <c r="CB11" s="191">
        <f t="shared" si="23"/>
        <v>253732.15099999984</v>
      </c>
      <c r="CC11" s="6">
        <f t="shared" si="23"/>
        <v>180870.99599999981</v>
      </c>
      <c r="CD11" s="6">
        <f t="shared" si="23"/>
        <v>41575.773999999743</v>
      </c>
      <c r="CE11" s="6">
        <f t="shared" si="23"/>
        <v>-96080.123999999836</v>
      </c>
      <c r="CF11" s="6">
        <f t="shared" si="23"/>
        <v>253236.02000000048</v>
      </c>
      <c r="CG11" s="6">
        <f t="shared" si="23"/>
        <v>604002.0150000006</v>
      </c>
      <c r="CH11" s="6">
        <f t="shared" ref="CH11:CM11" si="25">CH12-CH18</f>
        <v>590004.91999999993</v>
      </c>
      <c r="CI11" s="6">
        <f t="shared" si="25"/>
        <v>650076.53099999763</v>
      </c>
      <c r="CJ11" s="6">
        <f t="shared" si="25"/>
        <v>607082.16899999976</v>
      </c>
      <c r="CK11" s="6">
        <f t="shared" si="25"/>
        <v>311647.17399999686</v>
      </c>
      <c r="CL11" s="6">
        <f t="shared" si="25"/>
        <v>69491.743999997154</v>
      </c>
      <c r="CM11" s="6">
        <f t="shared" si="25"/>
        <v>-733124.83000000566</v>
      </c>
      <c r="CN11" s="261">
        <f t="shared" si="21"/>
        <v>-1781977.3346006237</v>
      </c>
      <c r="CO11" s="325">
        <f>CO12-CO18</f>
        <v>37266.269999999786</v>
      </c>
      <c r="CP11" s="6">
        <f>CP12-CP18</f>
        <v>-68091.927000000607</v>
      </c>
      <c r="CQ11" s="6">
        <f>CQ12-CQ18</f>
        <v>-521193.81899999967</v>
      </c>
      <c r="CR11" s="327">
        <f>CR12-CR18</f>
        <v>-777461.0130000012</v>
      </c>
      <c r="CS11" s="275">
        <f t="shared" ref="CS11" si="26">CS12-CS18</f>
        <v>-1983884.3354667909</v>
      </c>
      <c r="CT11" s="123"/>
    </row>
    <row r="12" spans="1:98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7">O13+O14+O15+O16+O17</f>
        <v>975697.728</v>
      </c>
      <c r="P12" s="7">
        <f t="shared" si="27"/>
        <v>1982128.068</v>
      </c>
      <c r="Q12" s="7">
        <f t="shared" si="27"/>
        <v>2717261.1530000004</v>
      </c>
      <c r="R12" s="7">
        <f t="shared" si="27"/>
        <v>3718233.8710000003</v>
      </c>
      <c r="S12" s="7">
        <f t="shared" si="27"/>
        <v>4827093</v>
      </c>
      <c r="T12" s="7">
        <f t="shared" si="27"/>
        <v>5906959</v>
      </c>
      <c r="U12" s="7">
        <f t="shared" si="27"/>
        <v>6797238.0060000001</v>
      </c>
      <c r="V12" s="7">
        <f t="shared" si="27"/>
        <v>7651862.6189999999</v>
      </c>
      <c r="W12" s="7">
        <f t="shared" si="27"/>
        <v>8441191.1919999998</v>
      </c>
      <c r="X12" s="7">
        <f t="shared" si="27"/>
        <v>9442475.4529999997</v>
      </c>
      <c r="Y12" s="7">
        <f t="shared" si="27"/>
        <v>10298302.450000001</v>
      </c>
      <c r="Z12" s="7">
        <f t="shared" si="27"/>
        <v>11414355.347000001</v>
      </c>
      <c r="AA12" s="88">
        <v>11141600</v>
      </c>
      <c r="AB12" s="7">
        <f t="shared" si="27"/>
        <v>990255.96600000001</v>
      </c>
      <c r="AC12" s="7">
        <f t="shared" si="27"/>
        <v>1994242.7690000001</v>
      </c>
      <c r="AD12" s="117">
        <v>2785216.6279999996</v>
      </c>
      <c r="AE12" s="7">
        <f t="shared" si="27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8">SUM(AH13:AH17)</f>
        <v>6664024.0649999995</v>
      </c>
      <c r="AI12" s="117">
        <f t="shared" si="28"/>
        <v>7569621.512000001</v>
      </c>
      <c r="AJ12" s="117">
        <f t="shared" si="28"/>
        <v>8418443.9169999994</v>
      </c>
      <c r="AK12" s="117">
        <f t="shared" si="28"/>
        <v>9324671.3610000014</v>
      </c>
      <c r="AL12" s="117">
        <f t="shared" si="28"/>
        <v>10221666.760000002</v>
      </c>
      <c r="AM12" s="117">
        <f t="shared" si="28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9">SUM(AS13:AS17)</f>
        <v>5035220.6849999987</v>
      </c>
      <c r="AT12" s="117">
        <f t="shared" si="29"/>
        <v>6011821.3130000001</v>
      </c>
      <c r="AU12" s="117">
        <f t="shared" si="29"/>
        <v>7174453.3150000004</v>
      </c>
      <c r="AV12" s="117">
        <f t="shared" si="29"/>
        <v>8200173.3370000003</v>
      </c>
      <c r="AW12" s="117">
        <f t="shared" si="29"/>
        <v>9385024.4179999996</v>
      </c>
      <c r="AX12" s="117">
        <f t="shared" si="29"/>
        <v>10378453.601</v>
      </c>
      <c r="AY12" s="117">
        <f t="shared" si="29"/>
        <v>11453394.700000001</v>
      </c>
      <c r="AZ12" s="117">
        <f t="shared" ref="AZ12:CN12" si="30">SUM(AZ13:AZ17)</f>
        <v>12572252.720999997</v>
      </c>
      <c r="BA12" s="88">
        <f t="shared" si="30"/>
        <v>11505167.982000001</v>
      </c>
      <c r="BB12" s="117">
        <f t="shared" si="30"/>
        <v>1230170.0470000003</v>
      </c>
      <c r="BC12" s="117">
        <f t="shared" si="30"/>
        <v>2396549.9539999999</v>
      </c>
      <c r="BD12" s="117">
        <f t="shared" si="30"/>
        <v>3292748.7499999995</v>
      </c>
      <c r="BE12" s="117">
        <f t="shared" ref="BE12:BF12" si="31">SUM(BE13:BE17)</f>
        <v>4533229.0440000007</v>
      </c>
      <c r="BF12" s="117">
        <f t="shared" si="31"/>
        <v>5674812.5990000004</v>
      </c>
      <c r="BG12" s="117">
        <f t="shared" ref="BG12:BI12" si="32">SUM(BG13:BG17)</f>
        <v>6784886.4799999995</v>
      </c>
      <c r="BH12" s="117">
        <f t="shared" si="32"/>
        <v>8002395.0970000001</v>
      </c>
      <c r="BI12" s="117">
        <f t="shared" si="32"/>
        <v>9224425.6809999999</v>
      </c>
      <c r="BJ12" s="117">
        <f t="shared" si="30"/>
        <v>10303593.375999998</v>
      </c>
      <c r="BK12" s="117">
        <f t="shared" si="30"/>
        <v>11632305.982999999</v>
      </c>
      <c r="BL12" s="117">
        <f t="shared" si="30"/>
        <v>12894240.421</v>
      </c>
      <c r="BM12" s="117">
        <f t="shared" si="30"/>
        <v>14273848.079</v>
      </c>
      <c r="BN12" s="88">
        <f t="shared" si="30"/>
        <v>12684579.007999998</v>
      </c>
      <c r="BO12" s="117">
        <f t="shared" si="30"/>
        <v>1307495.6850000001</v>
      </c>
      <c r="BP12" s="171">
        <f t="shared" si="30"/>
        <v>2642572.415</v>
      </c>
      <c r="BQ12" s="117">
        <f t="shared" si="30"/>
        <v>3584505.5599999996</v>
      </c>
      <c r="BR12" s="117">
        <f t="shared" si="30"/>
        <v>4977488.9879999999</v>
      </c>
      <c r="BS12" s="117">
        <f t="shared" si="30"/>
        <v>6379987.1710000001</v>
      </c>
      <c r="BT12" s="117">
        <f t="shared" si="30"/>
        <v>7684032.7689999994</v>
      </c>
      <c r="BU12" s="117">
        <f t="shared" si="30"/>
        <v>9143782.6349999998</v>
      </c>
      <c r="BV12" s="117">
        <f t="shared" si="30"/>
        <v>10401659.129000001</v>
      </c>
      <c r="BW12" s="117">
        <f t="shared" si="30"/>
        <v>11619528.627000002</v>
      </c>
      <c r="BX12" s="117">
        <f t="shared" si="30"/>
        <v>12829334.529999997</v>
      </c>
      <c r="BY12" s="187">
        <f t="shared" si="30"/>
        <v>14183424.774</v>
      </c>
      <c r="BZ12" s="7">
        <f t="shared" si="30"/>
        <v>15541746.577000001</v>
      </c>
      <c r="CA12" s="200">
        <v>15092858.163000001</v>
      </c>
      <c r="CB12" s="192">
        <f t="shared" si="30"/>
        <v>1557359.8019999999</v>
      </c>
      <c r="CC12" s="181">
        <f t="shared" si="30"/>
        <v>2912416.2560000001</v>
      </c>
      <c r="CD12" s="181">
        <f t="shared" si="30"/>
        <v>4095914</v>
      </c>
      <c r="CE12" s="181">
        <f t="shared" si="30"/>
        <v>5511561.6439999994</v>
      </c>
      <c r="CF12" s="181">
        <f t="shared" si="30"/>
        <v>7223421.8889999995</v>
      </c>
      <c r="CG12" s="181">
        <f t="shared" si="30"/>
        <v>9013060.1119999997</v>
      </c>
      <c r="CH12" s="181">
        <f t="shared" si="30"/>
        <v>10491786.183</v>
      </c>
      <c r="CI12" s="181">
        <f t="shared" si="30"/>
        <v>11866479.380999999</v>
      </c>
      <c r="CJ12" s="181">
        <f t="shared" si="30"/>
        <v>13128035.488000002</v>
      </c>
      <c r="CK12" s="181">
        <f t="shared" si="30"/>
        <v>14410767.687999997</v>
      </c>
      <c r="CL12" s="181">
        <f t="shared" si="30"/>
        <v>15675516.220999999</v>
      </c>
      <c r="CM12" s="181">
        <f t="shared" si="30"/>
        <v>17145707.653999995</v>
      </c>
      <c r="CN12" s="262">
        <f t="shared" si="30"/>
        <v>17117001.537000004</v>
      </c>
      <c r="CO12" s="269">
        <f t="shared" ref="CO12:CS12" si="33">SUM(CO13:CO17)</f>
        <v>1450465.2409999999</v>
      </c>
      <c r="CP12" s="181">
        <f t="shared" si="33"/>
        <v>2892448.1929999995</v>
      </c>
      <c r="CQ12" s="181">
        <f t="shared" si="33"/>
        <v>4053654.3910000003</v>
      </c>
      <c r="CR12" s="328">
        <f t="shared" si="33"/>
        <v>5450595.2919999994</v>
      </c>
      <c r="CS12" s="276">
        <f t="shared" si="33"/>
        <v>17855604.30195</v>
      </c>
    </row>
    <row r="13" spans="1:98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4">
        <v>2899113.1949999998</v>
      </c>
      <c r="BR13" s="174">
        <v>3962980.196</v>
      </c>
      <c r="BS13" s="174">
        <v>5034775.4369999999</v>
      </c>
      <c r="BT13" s="174">
        <v>6057990.1129999999</v>
      </c>
      <c r="BU13" s="174">
        <v>7166658.2439999999</v>
      </c>
      <c r="BV13" s="174">
        <v>8241511.5520000001</v>
      </c>
      <c r="BW13" s="174">
        <v>9316330.3210000005</v>
      </c>
      <c r="BX13" s="174">
        <v>10408732.415999999</v>
      </c>
      <c r="BY13" s="174">
        <v>11427806.365</v>
      </c>
      <c r="BZ13" s="9">
        <v>12600415.595000001</v>
      </c>
      <c r="CA13" s="198">
        <v>12286667.954</v>
      </c>
      <c r="CB13" s="174">
        <v>1080454.102</v>
      </c>
      <c r="CC13" s="174">
        <v>2104737.9569999999</v>
      </c>
      <c r="CD13" s="174">
        <v>3053104.517</v>
      </c>
      <c r="CE13" s="174">
        <v>4154252.8169999998</v>
      </c>
      <c r="CF13" s="174">
        <v>5338864.443</v>
      </c>
      <c r="CG13" s="174">
        <v>6514471.0729999999</v>
      </c>
      <c r="CH13" s="174">
        <v>7683399.7390000001</v>
      </c>
      <c r="CI13" s="174">
        <v>8847203.7249999996</v>
      </c>
      <c r="CJ13" s="174">
        <v>9991699.3230000008</v>
      </c>
      <c r="CK13" s="174">
        <v>11135224.812999999</v>
      </c>
      <c r="CL13" s="174">
        <v>12269515.438999999</v>
      </c>
      <c r="CM13" s="174">
        <v>13583513.608999999</v>
      </c>
      <c r="CN13" s="263">
        <v>13804572.522</v>
      </c>
      <c r="CO13" s="245">
        <v>1197099.889</v>
      </c>
      <c r="CP13" s="174">
        <v>2272644.2319999998</v>
      </c>
      <c r="CQ13" s="174">
        <v>3255356.4580000001</v>
      </c>
      <c r="CR13" s="174">
        <v>4410726.5360000003</v>
      </c>
      <c r="CS13" s="277">
        <v>14552749.614</v>
      </c>
    </row>
    <row r="14" spans="1:98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4">
        <v>156122.359</v>
      </c>
      <c r="BR14" s="174">
        <v>233359.448</v>
      </c>
      <c r="BS14" s="174">
        <v>425451.66800000001</v>
      </c>
      <c r="BT14" s="174">
        <v>662773.92500000005</v>
      </c>
      <c r="BU14" s="174">
        <v>749280.48899999994</v>
      </c>
      <c r="BV14" s="174">
        <v>803692.62800000003</v>
      </c>
      <c r="BW14" s="174">
        <v>858330.51599999995</v>
      </c>
      <c r="BX14" s="174">
        <v>920697.16599999997</v>
      </c>
      <c r="BY14" s="174">
        <v>1005853.704</v>
      </c>
      <c r="BZ14" s="9">
        <v>1064259.807</v>
      </c>
      <c r="CA14" s="198">
        <v>846332.99600000004</v>
      </c>
      <c r="CB14" s="174">
        <v>91673.743000000002</v>
      </c>
      <c r="CC14" s="174">
        <v>154609.77799999999</v>
      </c>
      <c r="CD14" s="174">
        <v>202737.978</v>
      </c>
      <c r="CE14" s="174">
        <v>280622.451</v>
      </c>
      <c r="CF14" s="174">
        <v>385440.935</v>
      </c>
      <c r="CG14" s="174">
        <v>828688.53700000001</v>
      </c>
      <c r="CH14" s="174">
        <v>905926.424</v>
      </c>
      <c r="CI14" s="174">
        <v>962662.80500000005</v>
      </c>
      <c r="CJ14" s="174">
        <v>1018204.732</v>
      </c>
      <c r="CK14" s="174">
        <v>1098480.402</v>
      </c>
      <c r="CL14" s="174">
        <v>1172182.2220000001</v>
      </c>
      <c r="CM14" s="174">
        <v>1220006.236</v>
      </c>
      <c r="CN14" s="263">
        <v>965806.23499999999</v>
      </c>
      <c r="CO14" s="245">
        <v>72897.604999999996</v>
      </c>
      <c r="CP14" s="174">
        <v>135884.07</v>
      </c>
      <c r="CQ14" s="174">
        <v>184481.11600000001</v>
      </c>
      <c r="CR14" s="174">
        <v>238977.04300000001</v>
      </c>
      <c r="CS14" s="277">
        <v>993105.20994999993</v>
      </c>
    </row>
    <row r="15" spans="1:98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4">
        <v>127549.20600000001</v>
      </c>
      <c r="BR15" s="174">
        <v>168779.52799999999</v>
      </c>
      <c r="BS15" s="174">
        <v>209220.68599999999</v>
      </c>
      <c r="BT15" s="174">
        <v>235586.59</v>
      </c>
      <c r="BU15" s="174">
        <v>283675.342</v>
      </c>
      <c r="BV15" s="174">
        <v>339142.49800000002</v>
      </c>
      <c r="BW15" s="174">
        <v>378966.96299999999</v>
      </c>
      <c r="BX15" s="174">
        <v>417721.74599999998</v>
      </c>
      <c r="BY15" s="174">
        <v>453669.86700000003</v>
      </c>
      <c r="BZ15" s="9">
        <v>490420.29800000001</v>
      </c>
      <c r="CA15" s="198">
        <v>423142.02299999999</v>
      </c>
      <c r="CB15" s="174">
        <v>57283.148999999998</v>
      </c>
      <c r="CC15" s="174">
        <v>105063.277</v>
      </c>
      <c r="CD15" s="174">
        <v>148542.31099999999</v>
      </c>
      <c r="CE15" s="174">
        <v>197970.28200000001</v>
      </c>
      <c r="CF15" s="174">
        <v>237853.098</v>
      </c>
      <c r="CG15" s="174">
        <v>275087.59700000001</v>
      </c>
      <c r="CH15" s="174">
        <v>313107.14500000002</v>
      </c>
      <c r="CI15" s="174">
        <v>366831.97499999998</v>
      </c>
      <c r="CJ15" s="174">
        <v>409119.467</v>
      </c>
      <c r="CK15" s="174">
        <v>457173.23300000001</v>
      </c>
      <c r="CL15" s="174">
        <v>492215.30900000001</v>
      </c>
      <c r="CM15" s="174">
        <v>538557.576</v>
      </c>
      <c r="CN15" s="263">
        <v>464771.45199999999</v>
      </c>
      <c r="CO15" s="245">
        <v>60362.139000000003</v>
      </c>
      <c r="CP15" s="174">
        <v>96678.002999999997</v>
      </c>
      <c r="CQ15" s="174">
        <v>141211.45600000001</v>
      </c>
      <c r="CR15" s="174">
        <v>193809.111</v>
      </c>
      <c r="CS15" s="277">
        <v>523022.80399999995</v>
      </c>
    </row>
    <row r="16" spans="1:98" ht="15" customHeight="1">
      <c r="A16" s="13" t="s">
        <v>226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4">
        <v>401164.826</v>
      </c>
      <c r="BR16" s="174">
        <v>611677.91799999995</v>
      </c>
      <c r="BS16" s="174">
        <v>709754.51399999997</v>
      </c>
      <c r="BT16" s="174">
        <v>726756.29099999997</v>
      </c>
      <c r="BU16" s="174">
        <v>943107.91299999994</v>
      </c>
      <c r="BV16" s="174">
        <v>1016126.142</v>
      </c>
      <c r="BW16" s="174">
        <v>1064298.595</v>
      </c>
      <c r="BX16" s="174">
        <v>1080609.3640000001</v>
      </c>
      <c r="BY16" s="174">
        <v>1293980.2390000001</v>
      </c>
      <c r="BZ16" s="9">
        <v>1384582.9450000001</v>
      </c>
      <c r="CA16" s="198">
        <v>1536015.19</v>
      </c>
      <c r="CB16" s="174">
        <v>327834.74400000001</v>
      </c>
      <c r="CC16" s="174">
        <v>547831.98400000005</v>
      </c>
      <c r="CD16" s="174">
        <v>691127.95499999996</v>
      </c>
      <c r="CE16" s="174">
        <v>878177.56700000004</v>
      </c>
      <c r="CF16" s="174">
        <v>1260530.324</v>
      </c>
      <c r="CG16" s="174">
        <v>1393872.4720000001</v>
      </c>
      <c r="CH16" s="174">
        <v>1588314.7120000001</v>
      </c>
      <c r="CI16" s="174">
        <v>1688504.2209999999</v>
      </c>
      <c r="CJ16" s="174">
        <v>1707631.068</v>
      </c>
      <c r="CK16" s="174">
        <v>1718330.0519999999</v>
      </c>
      <c r="CL16" s="174">
        <v>1739856.67</v>
      </c>
      <c r="CM16" s="174">
        <v>1801451.585</v>
      </c>
      <c r="CN16" s="263">
        <v>1880651.328</v>
      </c>
      <c r="CO16" s="245">
        <v>119758.12</v>
      </c>
      <c r="CP16" s="174">
        <v>387044.00799999997</v>
      </c>
      <c r="CQ16" s="174">
        <v>472080.92499999999</v>
      </c>
      <c r="CR16" s="174">
        <v>606446.92099999997</v>
      </c>
      <c r="CS16" s="277">
        <v>1785426.6740000001</v>
      </c>
    </row>
    <row r="17" spans="1:98" ht="15" customHeight="1">
      <c r="A17" s="13" t="s">
        <v>248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4">
        <v>555.97400000000005</v>
      </c>
      <c r="BR17" s="174">
        <v>691.89800000000002</v>
      </c>
      <c r="BS17" s="174">
        <v>784.86599999999999</v>
      </c>
      <c r="BT17" s="174">
        <v>925.85</v>
      </c>
      <c r="BU17" s="174">
        <v>1060.6469999999999</v>
      </c>
      <c r="BV17" s="174">
        <v>1186.309</v>
      </c>
      <c r="BW17" s="174">
        <v>1602.232</v>
      </c>
      <c r="BX17" s="174">
        <v>1573.838</v>
      </c>
      <c r="BY17" s="174">
        <v>2114.5990000000002</v>
      </c>
      <c r="BZ17" s="9">
        <v>2067.9319999999998</v>
      </c>
      <c r="CA17" s="198">
        <v>700.00000000231921</v>
      </c>
      <c r="CB17" s="174">
        <v>114.06399999999999</v>
      </c>
      <c r="CC17" s="174">
        <v>173.26</v>
      </c>
      <c r="CD17" s="174">
        <v>401.23899999999998</v>
      </c>
      <c r="CE17" s="174">
        <v>538.52700000000004</v>
      </c>
      <c r="CF17" s="174">
        <v>733.08900000000006</v>
      </c>
      <c r="CG17" s="174">
        <v>940.43299999999999</v>
      </c>
      <c r="CH17" s="174">
        <v>1038.163</v>
      </c>
      <c r="CI17" s="174">
        <v>1276.655</v>
      </c>
      <c r="CJ17" s="174">
        <v>1380.8979999999999</v>
      </c>
      <c r="CK17" s="174">
        <v>1559.1880000000001</v>
      </c>
      <c r="CL17" s="174">
        <v>1746.5809999999999</v>
      </c>
      <c r="CM17" s="174">
        <v>2178.6480000000001</v>
      </c>
      <c r="CN17" s="263">
        <v>1200.0000000034561</v>
      </c>
      <c r="CO17" s="245">
        <v>347.488</v>
      </c>
      <c r="CP17" s="174">
        <v>197.88</v>
      </c>
      <c r="CQ17" s="174">
        <v>524.43600000000004</v>
      </c>
      <c r="CR17" s="174">
        <v>635.68100000000004</v>
      </c>
      <c r="CS17" s="277">
        <v>1299.9999999992724</v>
      </c>
    </row>
    <row r="18" spans="1:98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34">O19+O20+O21+O22+O23+O24+O25</f>
        <v>802049.35100000002</v>
      </c>
      <c r="P18" s="7">
        <f t="shared" si="34"/>
        <v>1699664.548</v>
      </c>
      <c r="Q18" s="7">
        <f t="shared" si="34"/>
        <v>2516606.2450000001</v>
      </c>
      <c r="R18" s="7">
        <f t="shared" si="34"/>
        <v>3445206.4039999996</v>
      </c>
      <c r="S18" s="7">
        <f t="shared" si="34"/>
        <v>4312679.1330000004</v>
      </c>
      <c r="T18" s="7">
        <f t="shared" si="34"/>
        <v>5227748</v>
      </c>
      <c r="U18" s="7">
        <f t="shared" si="34"/>
        <v>6200080.6809999999</v>
      </c>
      <c r="V18" s="7">
        <f t="shared" si="34"/>
        <v>7055015.0839999998</v>
      </c>
      <c r="W18" s="7">
        <f t="shared" si="34"/>
        <v>7919591.6780000003</v>
      </c>
      <c r="X18" s="7">
        <f t="shared" si="34"/>
        <v>8998490.2170000002</v>
      </c>
      <c r="Y18" s="7">
        <f t="shared" si="34"/>
        <v>9993478.4220000021</v>
      </c>
      <c r="Z18" s="7">
        <f t="shared" si="34"/>
        <v>11531971.323999999</v>
      </c>
      <c r="AA18" s="88">
        <v>11413300</v>
      </c>
      <c r="AB18" s="7">
        <f t="shared" si="34"/>
        <v>878360.09499999997</v>
      </c>
      <c r="AC18" s="7">
        <f t="shared" si="34"/>
        <v>1778636.2350000001</v>
      </c>
      <c r="AD18" s="117">
        <v>2713903.1500000004</v>
      </c>
      <c r="AE18" s="7">
        <f t="shared" si="34"/>
        <v>3804869.0759999999</v>
      </c>
      <c r="AF18" s="7">
        <f t="shared" si="34"/>
        <v>4650494.148</v>
      </c>
      <c r="AG18" s="7">
        <f t="shared" si="34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5">SUM(AM19:AM25)</f>
        <v>12469399.772999998</v>
      </c>
      <c r="AN18" s="88">
        <v>12041588.210332099</v>
      </c>
      <c r="AO18" s="117">
        <f t="shared" si="35"/>
        <v>855571.82099999988</v>
      </c>
      <c r="AP18" s="117">
        <f t="shared" si="35"/>
        <v>1975642.6710000001</v>
      </c>
      <c r="AQ18" s="117">
        <f t="shared" si="35"/>
        <v>3331400.7910000002</v>
      </c>
      <c r="AR18" s="117">
        <f t="shared" si="35"/>
        <v>4605063.9380000001</v>
      </c>
      <c r="AS18" s="117">
        <f t="shared" si="35"/>
        <v>5665517.2240000004</v>
      </c>
      <c r="AT18" s="117">
        <f t="shared" si="35"/>
        <v>6965369.2889999999</v>
      </c>
      <c r="AU18" s="117">
        <f t="shared" si="35"/>
        <v>8047350.585</v>
      </c>
      <c r="AV18" s="117">
        <f t="shared" si="35"/>
        <v>9064852.6780000012</v>
      </c>
      <c r="AW18" s="117">
        <f t="shared" si="35"/>
        <v>10129243.697000001</v>
      </c>
      <c r="AX18" s="117">
        <f t="shared" si="35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5"/>
        <v>12771200.62569689</v>
      </c>
      <c r="BB18" s="117">
        <f t="shared" ref="BB18:CN18" si="36">SUM(BB19:BB25)</f>
        <v>1011780.956</v>
      </c>
      <c r="BC18" s="117">
        <f t="shared" si="36"/>
        <v>2186364.8130000001</v>
      </c>
      <c r="BD18" s="117">
        <f t="shared" si="36"/>
        <v>3428433.3459999999</v>
      </c>
      <c r="BE18" s="117">
        <f t="shared" si="36"/>
        <v>4615774.8030000003</v>
      </c>
      <c r="BF18" s="117">
        <f t="shared" si="36"/>
        <v>5839912.1259999992</v>
      </c>
      <c r="BG18" s="117">
        <f t="shared" si="36"/>
        <v>7011962.7009999985</v>
      </c>
      <c r="BH18" s="117">
        <f t="shared" ref="BH18:BI18" si="37">SUM(BH19:BH25)</f>
        <v>8100611.3030000012</v>
      </c>
      <c r="BI18" s="117">
        <f t="shared" si="37"/>
        <v>9205300.7259999998</v>
      </c>
      <c r="BJ18" s="117">
        <f t="shared" si="36"/>
        <v>10618687.93</v>
      </c>
      <c r="BK18" s="117">
        <f t="shared" si="36"/>
        <v>12162271.003</v>
      </c>
      <c r="BL18" s="117">
        <f t="shared" si="36"/>
        <v>13493625.718</v>
      </c>
      <c r="BM18" s="117">
        <f t="shared" si="36"/>
        <v>15724536.320999999</v>
      </c>
      <c r="BN18" s="88">
        <f t="shared" si="36"/>
        <v>14650418.194082916</v>
      </c>
      <c r="BO18" s="117">
        <f t="shared" si="36"/>
        <v>1084456.317</v>
      </c>
      <c r="BP18" s="171">
        <f t="shared" si="36"/>
        <v>2495260.5719999997</v>
      </c>
      <c r="BQ18" s="117">
        <f t="shared" si="36"/>
        <v>3848574.1860000002</v>
      </c>
      <c r="BR18" s="117">
        <f t="shared" si="36"/>
        <v>5149202.0640000002</v>
      </c>
      <c r="BS18" s="117">
        <f t="shared" si="36"/>
        <v>6434713.3619999997</v>
      </c>
      <c r="BT18" s="117">
        <f t="shared" si="36"/>
        <v>7821776.0310000004</v>
      </c>
      <c r="BU18" s="117">
        <f t="shared" si="36"/>
        <v>9055534.4979999997</v>
      </c>
      <c r="BV18" s="117">
        <f t="shared" si="36"/>
        <v>10332846.496000001</v>
      </c>
      <c r="BW18" s="117">
        <f t="shared" si="36"/>
        <v>11561050.483999997</v>
      </c>
      <c r="BX18" s="117">
        <f t="shared" si="36"/>
        <v>12977494.878</v>
      </c>
      <c r="BY18" s="187">
        <f t="shared" si="36"/>
        <v>14448599.523</v>
      </c>
      <c r="BZ18" s="7">
        <f t="shared" si="36"/>
        <v>16964660.367000002</v>
      </c>
      <c r="CA18" s="200">
        <v>17091904.921229731</v>
      </c>
      <c r="CB18" s="192">
        <f t="shared" si="36"/>
        <v>1303627.6510000001</v>
      </c>
      <c r="CC18" s="181">
        <f t="shared" si="36"/>
        <v>2731545.2600000002</v>
      </c>
      <c r="CD18" s="181">
        <f t="shared" si="36"/>
        <v>4054338.2260000003</v>
      </c>
      <c r="CE18" s="181">
        <f t="shared" si="36"/>
        <v>5607641.7679999992</v>
      </c>
      <c r="CF18" s="181">
        <f t="shared" si="36"/>
        <v>6970185.868999999</v>
      </c>
      <c r="CG18" s="181">
        <f t="shared" si="36"/>
        <v>8409058.0969999991</v>
      </c>
      <c r="CH18" s="181">
        <f t="shared" si="36"/>
        <v>9901781.2630000003</v>
      </c>
      <c r="CI18" s="181">
        <f t="shared" si="36"/>
        <v>11216402.850000001</v>
      </c>
      <c r="CJ18" s="181">
        <f t="shared" si="36"/>
        <v>12520953.319000002</v>
      </c>
      <c r="CK18" s="181">
        <f t="shared" si="36"/>
        <v>14099120.514</v>
      </c>
      <c r="CL18" s="181">
        <f t="shared" si="36"/>
        <v>15606024.477000002</v>
      </c>
      <c r="CM18" s="181">
        <f>SUM(CM19:CM25)</f>
        <v>17878832.484000001</v>
      </c>
      <c r="CN18" s="262">
        <f t="shared" si="36"/>
        <v>18898978.871600628</v>
      </c>
      <c r="CO18" s="269">
        <f>SUM(CO19:CO25)</f>
        <v>1413198.9710000001</v>
      </c>
      <c r="CP18" s="181">
        <f>SUM(CP19:CP25)</f>
        <v>2960540.12</v>
      </c>
      <c r="CQ18" s="181">
        <f>SUM(CQ19:CQ25)</f>
        <v>4574848.21</v>
      </c>
      <c r="CR18" s="328">
        <f>SUM(CR19:CR25)</f>
        <v>6228056.3050000006</v>
      </c>
      <c r="CS18" s="276">
        <f t="shared" ref="CS18" si="38">SUM(CS19:CS25)</f>
        <v>19839488.637416791</v>
      </c>
    </row>
    <row r="19" spans="1:98" s="167" customFormat="1" ht="15" customHeight="1">
      <c r="A19" s="203" t="s">
        <v>8</v>
      </c>
      <c r="B19" s="166">
        <v>115384.25697</v>
      </c>
      <c r="C19" s="166">
        <v>305009.92566000001</v>
      </c>
      <c r="D19" s="166">
        <v>504517.44844000001</v>
      </c>
      <c r="E19" s="166">
        <v>701515.55712999997</v>
      </c>
      <c r="F19" s="166">
        <v>904806.19543999992</v>
      </c>
      <c r="G19" s="166">
        <v>1179546.6514399999</v>
      </c>
      <c r="H19" s="166">
        <v>1389284.2918399998</v>
      </c>
      <c r="I19" s="166">
        <v>1561429.1473599998</v>
      </c>
      <c r="J19" s="166">
        <v>1728687.9439699999</v>
      </c>
      <c r="K19" s="166">
        <v>1930394.5707999999</v>
      </c>
      <c r="L19" s="166">
        <v>2155135.8222599998</v>
      </c>
      <c r="M19" s="166">
        <v>2452086.804</v>
      </c>
      <c r="N19" s="204">
        <v>2456500</v>
      </c>
      <c r="O19" s="205">
        <v>149668.239</v>
      </c>
      <c r="P19" s="166">
        <v>356505.43099999998</v>
      </c>
      <c r="Q19" s="166">
        <v>560968.272</v>
      </c>
      <c r="R19" s="206">
        <v>771999.777</v>
      </c>
      <c r="S19" s="206">
        <v>992333.15800000005</v>
      </c>
      <c r="T19" s="206">
        <v>1269882</v>
      </c>
      <c r="U19" s="206">
        <v>1495737.6950000001</v>
      </c>
      <c r="V19" s="206">
        <v>1675727.547</v>
      </c>
      <c r="W19" s="206">
        <v>1854987.452</v>
      </c>
      <c r="X19" s="206">
        <v>2065448.38</v>
      </c>
      <c r="Y19" s="206">
        <v>2298011.827</v>
      </c>
      <c r="Z19" s="206">
        <v>2611887.0589999999</v>
      </c>
      <c r="AA19" s="204">
        <v>2670500</v>
      </c>
      <c r="AB19" s="206">
        <v>140793.06899999999</v>
      </c>
      <c r="AC19" s="206">
        <v>351073.09899999999</v>
      </c>
      <c r="AD19" s="206">
        <v>569415.74800000002</v>
      </c>
      <c r="AE19" s="206">
        <v>802451.66200000001</v>
      </c>
      <c r="AF19" s="206">
        <v>1014625.571</v>
      </c>
      <c r="AG19" s="206">
        <v>1296503</v>
      </c>
      <c r="AH19" s="206">
        <v>1532442.575</v>
      </c>
      <c r="AI19" s="206">
        <v>1719476.371</v>
      </c>
      <c r="AJ19" s="206">
        <v>1916868.8489999999</v>
      </c>
      <c r="AK19" s="206">
        <v>2136406.0440000002</v>
      </c>
      <c r="AL19" s="206">
        <v>2372423.4720000001</v>
      </c>
      <c r="AM19" s="206">
        <v>2712062.486</v>
      </c>
      <c r="AN19" s="204">
        <v>2749575.7464447999</v>
      </c>
      <c r="AO19" s="206">
        <v>140431.39600000001</v>
      </c>
      <c r="AP19" s="206">
        <v>367142.364</v>
      </c>
      <c r="AQ19" s="206">
        <v>608046.53300000005</v>
      </c>
      <c r="AR19" s="206">
        <v>857184.86399999994</v>
      </c>
      <c r="AS19" s="206">
        <v>1094513.1100000001</v>
      </c>
      <c r="AT19" s="206">
        <v>1431533.3870000001</v>
      </c>
      <c r="AU19" s="206">
        <v>1667374.4779999999</v>
      </c>
      <c r="AV19" s="206">
        <v>1869766.031</v>
      </c>
      <c r="AW19" s="206">
        <v>2081157.865</v>
      </c>
      <c r="AX19" s="206">
        <v>2314198.7740000002</v>
      </c>
      <c r="AY19" s="206">
        <v>2566123.273</v>
      </c>
      <c r="AZ19" s="206">
        <v>2939640.2310000001</v>
      </c>
      <c r="BA19" s="204">
        <v>2812262.2110514101</v>
      </c>
      <c r="BB19" s="20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04">
        <v>3028196.6854385599</v>
      </c>
      <c r="BO19" s="207">
        <v>162519.83900000001</v>
      </c>
      <c r="BP19" s="207">
        <v>430687.723</v>
      </c>
      <c r="BQ19" s="207">
        <v>711562.55299999996</v>
      </c>
      <c r="BR19" s="207">
        <v>992003.07900000003</v>
      </c>
      <c r="BS19" s="207">
        <v>1282133.3810000001</v>
      </c>
      <c r="BT19" s="207">
        <v>1675695.916</v>
      </c>
      <c r="BU19" s="207">
        <v>1976955.3149999999</v>
      </c>
      <c r="BV19" s="207">
        <v>2234711.017</v>
      </c>
      <c r="BW19" s="207">
        <v>2500117.2420000001</v>
      </c>
      <c r="BX19" s="207">
        <v>2801526.1940000001</v>
      </c>
      <c r="BY19" s="208">
        <v>3122966.8530000001</v>
      </c>
      <c r="BZ19" s="166">
        <v>3601429.7140000002</v>
      </c>
      <c r="CA19" s="209">
        <v>3493956.408324074</v>
      </c>
      <c r="CB19" s="208">
        <v>223838.76</v>
      </c>
      <c r="CC19" s="208">
        <v>547494.39</v>
      </c>
      <c r="CD19" s="208">
        <v>874207.36699999997</v>
      </c>
      <c r="CE19" s="208">
        <v>1199898.5330000001</v>
      </c>
      <c r="CF19" s="208">
        <v>1548076.8670000001</v>
      </c>
      <c r="CG19" s="208">
        <v>1974262.4939999999</v>
      </c>
      <c r="CH19" s="208">
        <v>2328986.6690000002</v>
      </c>
      <c r="CI19" s="208">
        <v>2622311.2250000001</v>
      </c>
      <c r="CJ19" s="208">
        <v>2907771.9950000001</v>
      </c>
      <c r="CK19" s="208">
        <v>3239854.1549999998</v>
      </c>
      <c r="CL19" s="208">
        <v>3590729.2480000001</v>
      </c>
      <c r="CM19" s="208">
        <v>4083867.9739999999</v>
      </c>
      <c r="CN19" s="264">
        <v>3950968.6030028192</v>
      </c>
      <c r="CO19" s="270">
        <v>227203</v>
      </c>
      <c r="CP19" s="174">
        <v>565393.06299999997</v>
      </c>
      <c r="CQ19" s="208">
        <v>903125.47400000005</v>
      </c>
      <c r="CR19" s="208">
        <v>1285282.9680000001</v>
      </c>
      <c r="CS19" s="278">
        <v>4293841.5071847402</v>
      </c>
    </row>
    <row r="20" spans="1:98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4">
        <v>1773996.287</v>
      </c>
      <c r="BZ20" s="9">
        <v>2317949.4679999999</v>
      </c>
      <c r="CA20" s="198">
        <v>2004794.21</v>
      </c>
      <c r="CB20" s="174">
        <v>159800.26199999999</v>
      </c>
      <c r="CC20" s="174">
        <v>320454.00400000002</v>
      </c>
      <c r="CD20" s="174">
        <v>458266.25</v>
      </c>
      <c r="CE20" s="174">
        <v>612620.72</v>
      </c>
      <c r="CF20" s="174">
        <v>765282.66</v>
      </c>
      <c r="CG20" s="174">
        <v>926972.39899999998</v>
      </c>
      <c r="CH20" s="174">
        <v>1079714.0390000001</v>
      </c>
      <c r="CI20" s="174">
        <v>1221992.18</v>
      </c>
      <c r="CJ20" s="174">
        <v>1383445.406</v>
      </c>
      <c r="CK20" s="174">
        <v>1565147.655</v>
      </c>
      <c r="CL20" s="174">
        <v>1775125.2120000001</v>
      </c>
      <c r="CM20" s="174">
        <v>2135888.3990000002</v>
      </c>
      <c r="CN20" s="263">
        <v>1929016.0550000002</v>
      </c>
      <c r="CO20" s="245">
        <v>143305.693</v>
      </c>
      <c r="CP20" s="174">
        <v>416438.397</v>
      </c>
      <c r="CQ20" s="174">
        <v>585395.21699999995</v>
      </c>
      <c r="CR20" s="174">
        <v>743907.66</v>
      </c>
      <c r="CS20" s="277">
        <v>2286620.2023589602</v>
      </c>
    </row>
    <row r="21" spans="1:98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4">
        <v>225718.05</v>
      </c>
      <c r="BZ21" s="9">
        <v>228741.66099999999</v>
      </c>
      <c r="CA21" s="198">
        <v>230000.72599999997</v>
      </c>
      <c r="CB21" s="174">
        <v>43141.928</v>
      </c>
      <c r="CC21" s="174">
        <v>94496.096000000005</v>
      </c>
      <c r="CD21" s="174">
        <v>144039.117</v>
      </c>
      <c r="CE21" s="174">
        <v>193244.109</v>
      </c>
      <c r="CF21" s="174">
        <v>246137.89199999999</v>
      </c>
      <c r="CG21" s="174">
        <v>250811.41399999999</v>
      </c>
      <c r="CH21" s="174">
        <v>292618.815</v>
      </c>
      <c r="CI21" s="174">
        <v>302095.36200000002</v>
      </c>
      <c r="CJ21" s="174">
        <v>321869.73800000001</v>
      </c>
      <c r="CK21" s="174">
        <v>340078.75</v>
      </c>
      <c r="CL21" s="174">
        <v>360130.69</v>
      </c>
      <c r="CM21" s="174">
        <v>371952.397</v>
      </c>
      <c r="CN21" s="263">
        <v>381011.60099999997</v>
      </c>
      <c r="CO21" s="245">
        <v>98576.904999999999</v>
      </c>
      <c r="CP21" s="174">
        <v>147446</v>
      </c>
      <c r="CQ21" s="174">
        <v>199074.00599999999</v>
      </c>
      <c r="CR21" s="174">
        <v>203119.2</v>
      </c>
      <c r="CS21" s="277">
        <v>458479.32900000003</v>
      </c>
    </row>
    <row r="22" spans="1:98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4">
        <v>3384080.2540000002</v>
      </c>
      <c r="BZ22" s="9">
        <v>4036114.6869999999</v>
      </c>
      <c r="CA22" s="198">
        <v>4645175.4469999997</v>
      </c>
      <c r="CB22" s="174">
        <v>321531.875</v>
      </c>
      <c r="CC22" s="174">
        <v>565172.92700000003</v>
      </c>
      <c r="CD22" s="174">
        <v>876790.05700000003</v>
      </c>
      <c r="CE22" s="174">
        <v>1324837.4620000001</v>
      </c>
      <c r="CF22" s="174">
        <v>1600990.449</v>
      </c>
      <c r="CG22" s="174">
        <v>1898696.7749999999</v>
      </c>
      <c r="CH22" s="174">
        <v>2226500.344</v>
      </c>
      <c r="CI22" s="174">
        <v>2522424.611</v>
      </c>
      <c r="CJ22" s="174">
        <v>2773210.6850000001</v>
      </c>
      <c r="CK22" s="174">
        <v>3141452.3309999998</v>
      </c>
      <c r="CL22" s="174">
        <v>3435790.9109999998</v>
      </c>
      <c r="CM22" s="174">
        <v>4050225.3289999999</v>
      </c>
      <c r="CN22" s="263">
        <v>5407583.1445978032</v>
      </c>
      <c r="CO22" s="245">
        <v>331213.35399999999</v>
      </c>
      <c r="CP22" s="174">
        <v>642965.52899999998</v>
      </c>
      <c r="CQ22" s="174">
        <v>1037713.498</v>
      </c>
      <c r="CR22" s="174">
        <v>1457215.54</v>
      </c>
      <c r="CS22" s="277">
        <v>5180753.3974519996</v>
      </c>
    </row>
    <row r="23" spans="1:98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4">
        <v>4447029.4400000004</v>
      </c>
      <c r="BZ23" s="9">
        <v>4832584.1940000001</v>
      </c>
      <c r="CA23" s="198">
        <v>4856564.7239999995</v>
      </c>
      <c r="CB23" s="174">
        <v>456505.84</v>
      </c>
      <c r="CC23" s="174">
        <v>881506.27099999995</v>
      </c>
      <c r="CD23" s="174">
        <v>1279246.76</v>
      </c>
      <c r="CE23" s="174">
        <v>1734144.878</v>
      </c>
      <c r="CF23" s="174">
        <v>2153088.676</v>
      </c>
      <c r="CG23" s="174">
        <v>2568386.7549999999</v>
      </c>
      <c r="CH23" s="174">
        <v>3007890.665</v>
      </c>
      <c r="CI23" s="174">
        <v>3422424.2349999999</v>
      </c>
      <c r="CJ23" s="174">
        <v>3844912.1469999999</v>
      </c>
      <c r="CK23" s="174">
        <v>4312886.2149999999</v>
      </c>
      <c r="CL23" s="174">
        <v>4756879.8660000004</v>
      </c>
      <c r="CM23" s="174">
        <v>5207340.66</v>
      </c>
      <c r="CN23" s="263">
        <v>5174055.3789999997</v>
      </c>
      <c r="CO23" s="245">
        <v>474908.63199999998</v>
      </c>
      <c r="CP23" s="174">
        <v>933456.69400000002</v>
      </c>
      <c r="CQ23" s="174">
        <v>1394050.2790000001</v>
      </c>
      <c r="CR23" s="174">
        <v>1920596.7</v>
      </c>
      <c r="CS23" s="277">
        <v>5633805.4580494501</v>
      </c>
    </row>
    <row r="24" spans="1:98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4">
        <v>1088102.2479999999</v>
      </c>
      <c r="BZ24" s="9">
        <v>1456269.6240000001</v>
      </c>
      <c r="CA24" s="198">
        <v>1413818.2709056607</v>
      </c>
      <c r="CB24" s="174">
        <v>65372.525999999998</v>
      </c>
      <c r="CC24" s="174">
        <v>252488.356</v>
      </c>
      <c r="CD24" s="174">
        <v>298484.88699999999</v>
      </c>
      <c r="CE24" s="174">
        <v>387668.95899999997</v>
      </c>
      <c r="CF24" s="174">
        <v>469495.23700000002</v>
      </c>
      <c r="CG24" s="174">
        <v>559934.58900000004</v>
      </c>
      <c r="CH24" s="174">
        <v>684551.40700000001</v>
      </c>
      <c r="CI24" s="174">
        <v>809994.402</v>
      </c>
      <c r="CJ24" s="174">
        <v>941040.25600000005</v>
      </c>
      <c r="CK24" s="174">
        <v>1107432.0730000001</v>
      </c>
      <c r="CL24" s="174">
        <v>1252803.767</v>
      </c>
      <c r="CM24" s="174">
        <v>1549939.666</v>
      </c>
      <c r="CN24" s="263">
        <v>1581066.0410000002</v>
      </c>
      <c r="CO24" s="245">
        <v>95708.82</v>
      </c>
      <c r="CP24" s="174">
        <v>177266.745</v>
      </c>
      <c r="CQ24" s="174">
        <v>330142.24900000001</v>
      </c>
      <c r="CR24" s="174">
        <v>455606.33199999999</v>
      </c>
      <c r="CS24" s="277">
        <v>1552976.8543716432</v>
      </c>
    </row>
    <row r="25" spans="1:98" ht="15" customHeight="1">
      <c r="A25" s="13" t="s">
        <v>252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4">
        <v>406706.391</v>
      </c>
      <c r="BZ25" s="9">
        <v>491571.01899999997</v>
      </c>
      <c r="CA25" s="198">
        <v>447595.1349999989</v>
      </c>
      <c r="CB25" s="174">
        <v>33436.46</v>
      </c>
      <c r="CC25" s="174">
        <v>69933.216</v>
      </c>
      <c r="CD25" s="174">
        <v>123303.788</v>
      </c>
      <c r="CE25" s="174">
        <v>155227.10699999999</v>
      </c>
      <c r="CF25" s="174">
        <v>187114.08799999999</v>
      </c>
      <c r="CG25" s="174">
        <v>229993.671</v>
      </c>
      <c r="CH25" s="174">
        <v>281519.32400000002</v>
      </c>
      <c r="CI25" s="174">
        <v>315160.83500000002</v>
      </c>
      <c r="CJ25" s="174">
        <v>348703.092</v>
      </c>
      <c r="CK25" s="174">
        <v>392269.33500000002</v>
      </c>
      <c r="CL25" s="174">
        <v>434564.783</v>
      </c>
      <c r="CM25" s="174">
        <v>479618.05900000001</v>
      </c>
      <c r="CN25" s="263">
        <v>475278.04800000443</v>
      </c>
      <c r="CO25" s="245">
        <v>42282.567000000003</v>
      </c>
      <c r="CP25" s="174">
        <v>77573.691999999995</v>
      </c>
      <c r="CQ25" s="174">
        <v>125347.48699999999</v>
      </c>
      <c r="CR25" s="174">
        <v>162327.905</v>
      </c>
      <c r="CS25" s="277">
        <v>433011.88899999624</v>
      </c>
    </row>
    <row r="26" spans="1:98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9">O27-O28</f>
        <v>-728690.54</v>
      </c>
      <c r="P26" s="6">
        <f t="shared" si="39"/>
        <v>162814.08700000006</v>
      </c>
      <c r="Q26" s="6">
        <f t="shared" si="39"/>
        <v>58503.325000000186</v>
      </c>
      <c r="R26" s="6">
        <f t="shared" si="39"/>
        <v>130809.68699999992</v>
      </c>
      <c r="S26" s="6">
        <f t="shared" si="39"/>
        <v>370300</v>
      </c>
      <c r="T26" s="6">
        <f t="shared" si="39"/>
        <v>563038</v>
      </c>
      <c r="U26" s="6">
        <f t="shared" si="39"/>
        <v>501081</v>
      </c>
      <c r="V26" s="6">
        <f t="shared" si="39"/>
        <v>497762</v>
      </c>
      <c r="W26" s="6">
        <f t="shared" si="39"/>
        <v>408048</v>
      </c>
      <c r="X26" s="6">
        <f t="shared" si="39"/>
        <v>336534</v>
      </c>
      <c r="Y26" s="6">
        <f t="shared" si="39"/>
        <v>185521</v>
      </c>
      <c r="Z26" s="6">
        <f t="shared" si="39"/>
        <v>-167787</v>
      </c>
      <c r="AA26" s="87">
        <f t="shared" si="39"/>
        <v>-210300</v>
      </c>
      <c r="AB26" s="6">
        <f t="shared" si="39"/>
        <v>3073</v>
      </c>
      <c r="AC26" s="6">
        <f t="shared" si="39"/>
        <v>63448</v>
      </c>
      <c r="AD26" s="116">
        <v>-72337</v>
      </c>
      <c r="AE26" s="6">
        <f t="shared" si="39"/>
        <v>-136431</v>
      </c>
      <c r="AF26" s="6">
        <f t="shared" si="39"/>
        <v>-66661</v>
      </c>
      <c r="AG26" s="6">
        <f t="shared" si="39"/>
        <v>-232755</v>
      </c>
      <c r="AH26" s="6">
        <f t="shared" si="39"/>
        <v>-88810</v>
      </c>
      <c r="AI26" s="6">
        <f t="shared" ref="AI26:BA26" si="40">AI27-AI28</f>
        <v>-149846</v>
      </c>
      <c r="AJ26" s="6">
        <f t="shared" si="40"/>
        <v>-281199</v>
      </c>
      <c r="AK26" s="6">
        <f t="shared" si="40"/>
        <v>-498436</v>
      </c>
      <c r="AL26" s="6">
        <f t="shared" si="40"/>
        <v>-620287</v>
      </c>
      <c r="AM26" s="6">
        <f t="shared" si="40"/>
        <v>-1109498</v>
      </c>
      <c r="AN26" s="87">
        <v>-105787.055000001</v>
      </c>
      <c r="AO26" s="6">
        <f t="shared" si="40"/>
        <v>118315</v>
      </c>
      <c r="AP26" s="6">
        <f t="shared" si="40"/>
        <v>-6892</v>
      </c>
      <c r="AQ26" s="6">
        <f t="shared" si="40"/>
        <v>-663055</v>
      </c>
      <c r="AR26" s="6">
        <f t="shared" si="40"/>
        <v>-745754</v>
      </c>
      <c r="AS26" s="6">
        <f t="shared" si="40"/>
        <v>-727694</v>
      </c>
      <c r="AT26" s="6">
        <f t="shared" si="40"/>
        <v>-997453</v>
      </c>
      <c r="AU26" s="6">
        <f t="shared" si="40"/>
        <v>-902550</v>
      </c>
      <c r="AV26" s="6">
        <f t="shared" si="40"/>
        <v>-898258</v>
      </c>
      <c r="AW26" s="6">
        <f t="shared" si="40"/>
        <v>-765721</v>
      </c>
      <c r="AX26" s="6">
        <f t="shared" si="40"/>
        <v>-993826</v>
      </c>
      <c r="AY26" s="6">
        <f t="shared" si="40"/>
        <v>-1075193</v>
      </c>
      <c r="AZ26" s="6">
        <f>AZ27-AZ28</f>
        <v>-1734231</v>
      </c>
      <c r="BA26" s="87">
        <f t="shared" si="40"/>
        <v>-1191224.0161699988</v>
      </c>
      <c r="BB26" s="6">
        <f t="shared" ref="BB26:CP26" si="41">BB27-BB28</f>
        <v>111990</v>
      </c>
      <c r="BC26" s="6">
        <f t="shared" si="41"/>
        <v>45980</v>
      </c>
      <c r="BD26" s="6">
        <f t="shared" si="41"/>
        <v>-281198</v>
      </c>
      <c r="BE26" s="6">
        <f t="shared" si="41"/>
        <v>-247183</v>
      </c>
      <c r="BF26" s="6">
        <f t="shared" si="41"/>
        <v>-318453.9879999999</v>
      </c>
      <c r="BG26" s="6">
        <f>BG27-BG28</f>
        <v>-379876.70500000007</v>
      </c>
      <c r="BH26" s="6">
        <f t="shared" ref="BH26:BI26" si="42">BH27-BH28</f>
        <v>-278005</v>
      </c>
      <c r="BI26" s="6">
        <f t="shared" si="42"/>
        <v>-194434</v>
      </c>
      <c r="BJ26" s="6">
        <f t="shared" si="41"/>
        <v>-551754</v>
      </c>
      <c r="BK26" s="6">
        <f>BK27-BK28</f>
        <v>-796371</v>
      </c>
      <c r="BL26" s="6">
        <f t="shared" ref="BL26:CM26" si="43">BL27-BL28</f>
        <v>-835211</v>
      </c>
      <c r="BM26" s="6">
        <f t="shared" si="43"/>
        <v>-1513572</v>
      </c>
      <c r="BN26" s="87">
        <f t="shared" si="41"/>
        <v>-1769806.8469999991</v>
      </c>
      <c r="BO26" s="6">
        <f t="shared" si="43"/>
        <v>138560</v>
      </c>
      <c r="BP26" s="170">
        <f t="shared" si="43"/>
        <v>147312</v>
      </c>
      <c r="BQ26" s="6">
        <f t="shared" si="43"/>
        <v>-264068</v>
      </c>
      <c r="BR26" s="6">
        <f t="shared" si="43"/>
        <v>-215877</v>
      </c>
      <c r="BS26" s="6">
        <f t="shared" si="43"/>
        <v>-54726</v>
      </c>
      <c r="BT26" s="6">
        <f t="shared" si="43"/>
        <v>-209345</v>
      </c>
      <c r="BU26" s="6">
        <f t="shared" si="43"/>
        <v>696</v>
      </c>
      <c r="BV26" s="6">
        <f t="shared" si="43"/>
        <v>-5413</v>
      </c>
      <c r="BW26" s="6">
        <f t="shared" si="43"/>
        <v>-6932</v>
      </c>
      <c r="BX26" s="6">
        <f t="shared" si="43"/>
        <v>-213737</v>
      </c>
      <c r="BY26" s="170">
        <f t="shared" si="43"/>
        <v>-307314</v>
      </c>
      <c r="BZ26" s="6">
        <f t="shared" si="43"/>
        <v>-1266914</v>
      </c>
      <c r="CA26" s="199">
        <v>-1957388.8759056572</v>
      </c>
      <c r="CB26" s="191">
        <f t="shared" si="43"/>
        <v>166775</v>
      </c>
      <c r="CC26" s="6">
        <f t="shared" si="43"/>
        <v>52693</v>
      </c>
      <c r="CD26" s="6">
        <f t="shared" si="43"/>
        <v>-26271</v>
      </c>
      <c r="CE26" s="6">
        <f t="shared" si="43"/>
        <v>-175260</v>
      </c>
      <c r="CF26" s="6">
        <f t="shared" si="43"/>
        <v>176008</v>
      </c>
      <c r="CG26" s="6">
        <f t="shared" si="43"/>
        <v>508351</v>
      </c>
      <c r="CH26" s="6">
        <f t="shared" si="43"/>
        <v>531747</v>
      </c>
      <c r="CI26" s="6">
        <f t="shared" si="43"/>
        <v>565186</v>
      </c>
      <c r="CJ26" s="6">
        <f t="shared" si="43"/>
        <v>497470</v>
      </c>
      <c r="CK26" s="6">
        <f t="shared" si="43"/>
        <v>195764</v>
      </c>
      <c r="CL26" s="6">
        <f t="shared" si="43"/>
        <v>-31621</v>
      </c>
      <c r="CM26" s="6">
        <f t="shared" si="43"/>
        <v>-684838</v>
      </c>
      <c r="CN26" s="265">
        <f t="shared" si="41"/>
        <v>-1716170.5079209451</v>
      </c>
      <c r="CO26" s="325">
        <f t="shared" si="41"/>
        <v>-31811</v>
      </c>
      <c r="CP26" s="6">
        <f t="shared" si="41"/>
        <v>-172785</v>
      </c>
      <c r="CQ26" s="6">
        <f>CQ27-CQ28</f>
        <v>-655427</v>
      </c>
      <c r="CR26" s="327">
        <f>CR27-CR28</f>
        <v>-896039</v>
      </c>
      <c r="CS26" s="279">
        <f t="shared" ref="CS26" si="44">CS27-CS28</f>
        <v>-1993884.2580000013</v>
      </c>
      <c r="CT26" s="123"/>
    </row>
    <row r="27" spans="1:98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198">
        <v>12912863.821000002</v>
      </c>
      <c r="CB27" s="174">
        <v>1342740</v>
      </c>
      <c r="CC27" s="174">
        <v>2453323</v>
      </c>
      <c r="CD27" s="174">
        <v>3503406</v>
      </c>
      <c r="CE27" s="174">
        <v>4744039</v>
      </c>
      <c r="CF27" s="174">
        <v>6228705</v>
      </c>
      <c r="CG27" s="174">
        <v>7814659</v>
      </c>
      <c r="CH27" s="174">
        <v>9075701</v>
      </c>
      <c r="CI27" s="174">
        <v>10198362</v>
      </c>
      <c r="CJ27" s="174">
        <v>11244992</v>
      </c>
      <c r="CK27" s="174">
        <v>12315065</v>
      </c>
      <c r="CL27" s="174">
        <v>13335030</v>
      </c>
      <c r="CM27" s="174">
        <v>14575306</v>
      </c>
      <c r="CN27" s="263">
        <v>14689921.317000002</v>
      </c>
      <c r="CO27" s="245">
        <v>1283239</v>
      </c>
      <c r="CP27" s="174">
        <v>2498414</v>
      </c>
      <c r="CQ27" s="174">
        <v>3420650</v>
      </c>
      <c r="CR27" s="174">
        <v>4629912</v>
      </c>
      <c r="CS27" s="277">
        <v>15229812.333999999</v>
      </c>
    </row>
    <row r="28" spans="1:98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198">
        <v>14870252.69690566</v>
      </c>
      <c r="CB28" s="174">
        <v>1175965</v>
      </c>
      <c r="CC28" s="174">
        <v>2400630</v>
      </c>
      <c r="CD28" s="174">
        <v>3529677</v>
      </c>
      <c r="CE28" s="174">
        <v>4919299</v>
      </c>
      <c r="CF28" s="174">
        <v>6052697</v>
      </c>
      <c r="CG28" s="174">
        <v>7306308</v>
      </c>
      <c r="CH28" s="174">
        <v>8543954</v>
      </c>
      <c r="CI28" s="174">
        <v>9633176</v>
      </c>
      <c r="CJ28" s="174">
        <v>10747522</v>
      </c>
      <c r="CK28" s="174">
        <v>12119301</v>
      </c>
      <c r="CL28" s="174">
        <v>13366651</v>
      </c>
      <c r="CM28" s="174">
        <v>15260144</v>
      </c>
      <c r="CN28" s="263">
        <v>16406091.824920947</v>
      </c>
      <c r="CO28" s="245">
        <v>1315050</v>
      </c>
      <c r="CP28" s="174">
        <v>2671199</v>
      </c>
      <c r="CQ28" s="174">
        <v>4076077</v>
      </c>
      <c r="CR28" s="174">
        <v>5525951</v>
      </c>
      <c r="CS28" s="277">
        <v>17223696.592</v>
      </c>
    </row>
    <row r="29" spans="1:98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45">O30-O31</f>
        <v>53602.820999999996</v>
      </c>
      <c r="P29" s="6">
        <f t="shared" si="45"/>
        <v>99786.763360000215</v>
      </c>
      <c r="Q29" s="85">
        <f t="shared" si="45"/>
        <v>-7682.0119999998715</v>
      </c>
      <c r="R29" s="85">
        <f t="shared" si="45"/>
        <v>43648.851559999865</v>
      </c>
      <c r="S29" s="85">
        <f t="shared" si="45"/>
        <v>246223.83599999966</v>
      </c>
      <c r="T29" s="85">
        <f t="shared" si="45"/>
        <v>411878</v>
      </c>
      <c r="U29" s="85">
        <f t="shared" si="45"/>
        <v>290422.34280000022</v>
      </c>
      <c r="V29" s="85">
        <f t="shared" si="45"/>
        <v>227879.13100000005</v>
      </c>
      <c r="W29" s="85">
        <f t="shared" si="45"/>
        <v>128636.48099999968</v>
      </c>
      <c r="X29" s="85">
        <f t="shared" si="45"/>
        <v>22065.566999999806</v>
      </c>
      <c r="Y29" s="85">
        <f t="shared" si="45"/>
        <v>-140685.27699999977</v>
      </c>
      <c r="Z29" s="85">
        <f t="shared" si="45"/>
        <v>-485044.18599999975</v>
      </c>
      <c r="AA29" s="87">
        <f t="shared" si="45"/>
        <v>-438300</v>
      </c>
      <c r="AB29" s="85">
        <f t="shared" si="45"/>
        <v>-27008.783000000054</v>
      </c>
      <c r="AC29" s="85">
        <f t="shared" si="45"/>
        <v>-9269.5239999999758</v>
      </c>
      <c r="AD29" s="118">
        <v>-101706.88614000008</v>
      </c>
      <c r="AE29" s="85">
        <f t="shared" si="45"/>
        <v>-170325.64399999985</v>
      </c>
      <c r="AF29" s="85">
        <f t="shared" si="45"/>
        <v>-92020.585659999866</v>
      </c>
      <c r="AG29" s="85">
        <f t="shared" si="45"/>
        <v>-208697</v>
      </c>
      <c r="AH29" s="85">
        <f t="shared" si="45"/>
        <v>-115099.53200000012</v>
      </c>
      <c r="AI29" s="85">
        <f t="shared" ref="AI29:BA29" si="46">AI30-AI31</f>
        <v>-216342.46299999952</v>
      </c>
      <c r="AJ29" s="85">
        <f t="shared" si="46"/>
        <v>-335327.7209999999</v>
      </c>
      <c r="AK29" s="85">
        <f t="shared" si="46"/>
        <v>-600909.80800000019</v>
      </c>
      <c r="AL29" s="85">
        <f t="shared" si="46"/>
        <v>-709090.36600000039</v>
      </c>
      <c r="AM29" s="85">
        <f t="shared" si="46"/>
        <v>-1241962.0246699993</v>
      </c>
      <c r="AN29" s="87">
        <v>-341991.77900000202</v>
      </c>
      <c r="AO29" s="85">
        <f t="shared" si="46"/>
        <v>145495.451</v>
      </c>
      <c r="AP29" s="85">
        <f t="shared" si="46"/>
        <v>140973.01899999985</v>
      </c>
      <c r="AQ29" s="85">
        <f t="shared" si="46"/>
        <v>-553552.96299999999</v>
      </c>
      <c r="AR29" s="85">
        <f t="shared" si="46"/>
        <v>-658430.76099999994</v>
      </c>
      <c r="AS29" s="85">
        <f t="shared" si="46"/>
        <v>-659587.17199999979</v>
      </c>
      <c r="AT29" s="85">
        <f t="shared" si="46"/>
        <v>-939419.41299999971</v>
      </c>
      <c r="AU29" s="85">
        <f t="shared" si="46"/>
        <v>-920391.10199999996</v>
      </c>
      <c r="AV29" s="85">
        <f t="shared" si="46"/>
        <v>-950438.33499999996</v>
      </c>
      <c r="AW29" s="85">
        <f t="shared" si="46"/>
        <v>-838941.25799999945</v>
      </c>
      <c r="AX29" s="85">
        <f t="shared" si="46"/>
        <v>-1117742.949</v>
      </c>
      <c r="AY29" s="85">
        <f t="shared" si="46"/>
        <v>-1155026.676</v>
      </c>
      <c r="AZ29" s="85">
        <f>AZ30-AZ31</f>
        <v>-1960876.7939999988</v>
      </c>
      <c r="BA29" s="87">
        <f t="shared" si="46"/>
        <v>-1157978.0899999999</v>
      </c>
      <c r="BB29" s="85">
        <f t="shared" ref="BB29:CN29" si="47">BB30-BB31</f>
        <v>-22576.613000000012</v>
      </c>
      <c r="BC29" s="85">
        <f t="shared" si="47"/>
        <v>-104207.65699999989</v>
      </c>
      <c r="BD29" s="85">
        <f t="shared" si="47"/>
        <v>-401343.88299999991</v>
      </c>
      <c r="BE29" s="85">
        <f t="shared" si="47"/>
        <v>-406432.78599999985</v>
      </c>
      <c r="BF29" s="85">
        <f t="shared" si="47"/>
        <v>-518798.9169999999</v>
      </c>
      <c r="BG29" s="85">
        <f t="shared" si="47"/>
        <v>-620133.72900000028</v>
      </c>
      <c r="BH29" s="85">
        <f t="shared" ref="BH29:BI29" si="48">BH30-BH31</f>
        <v>-652119.98400000017</v>
      </c>
      <c r="BI29" s="85">
        <f t="shared" si="48"/>
        <v>-596051.0139999995</v>
      </c>
      <c r="BJ29" s="85">
        <f t="shared" si="47"/>
        <v>-919146.82300000079</v>
      </c>
      <c r="BK29" s="85">
        <f t="shared" si="47"/>
        <v>-1242437.2129999995</v>
      </c>
      <c r="BL29" s="85">
        <f t="shared" si="47"/>
        <v>-1239928.7939999998</v>
      </c>
      <c r="BM29" s="85">
        <f t="shared" si="47"/>
        <v>-1889248.0899999999</v>
      </c>
      <c r="BN29" s="87">
        <f t="shared" si="47"/>
        <v>-1795074.1850000005</v>
      </c>
      <c r="BO29" s="85">
        <f t="shared" si="47"/>
        <v>105353.71799999999</v>
      </c>
      <c r="BP29" s="172">
        <f t="shared" si="47"/>
        <v>-6220.1790000000037</v>
      </c>
      <c r="BQ29" s="85">
        <f t="shared" si="47"/>
        <v>-274666.55300000007</v>
      </c>
      <c r="BR29" s="85">
        <f t="shared" si="47"/>
        <v>-194503.71800000034</v>
      </c>
      <c r="BS29" s="85">
        <f t="shared" si="47"/>
        <v>-124781.00300000003</v>
      </c>
      <c r="BT29" s="85">
        <f t="shared" si="47"/>
        <v>-236599.83400000073</v>
      </c>
      <c r="BU29" s="85">
        <f t="shared" si="47"/>
        <v>-140162.25700000022</v>
      </c>
      <c r="BV29" s="85">
        <f t="shared" si="47"/>
        <v>-166723.6660000002</v>
      </c>
      <c r="BW29" s="85">
        <f t="shared" si="47"/>
        <v>-231453.56300000008</v>
      </c>
      <c r="BX29" s="85">
        <f t="shared" si="47"/>
        <v>-484910.73999999929</v>
      </c>
      <c r="BY29" s="172">
        <f t="shared" si="47"/>
        <v>-572440.25700000115</v>
      </c>
      <c r="BZ29" s="85">
        <f t="shared" si="47"/>
        <v>-1531000.7019999996</v>
      </c>
      <c r="CA29" s="201">
        <v>-2065121.0720000006</v>
      </c>
      <c r="CB29" s="193">
        <f t="shared" si="47"/>
        <v>111979.60499999998</v>
      </c>
      <c r="CC29" s="85">
        <f t="shared" si="47"/>
        <v>-22271.229999999981</v>
      </c>
      <c r="CD29" s="85">
        <f t="shared" si="47"/>
        <v>-126079.60699999984</v>
      </c>
      <c r="CE29" s="85">
        <f t="shared" si="47"/>
        <v>-373733.7070000004</v>
      </c>
      <c r="CF29" s="85">
        <f t="shared" si="47"/>
        <v>-44638.879000000656</v>
      </c>
      <c r="CG29" s="85">
        <f t="shared" ref="CG29:CM29" si="49">CG30-CG31</f>
        <v>256429.41399999987</v>
      </c>
      <c r="CH29" s="85">
        <f t="shared" si="49"/>
        <v>212775.44700000063</v>
      </c>
      <c r="CI29" s="85">
        <f t="shared" si="49"/>
        <v>196913.57100000046</v>
      </c>
      <c r="CJ29" s="85">
        <f t="shared" si="49"/>
        <v>121694.40899999999</v>
      </c>
      <c r="CK29" s="85">
        <f t="shared" si="49"/>
        <v>-197241.80599999987</v>
      </c>
      <c r="CL29" s="85">
        <f t="shared" si="49"/>
        <v>-445419.16300000064</v>
      </c>
      <c r="CM29" s="85">
        <f t="shared" si="49"/>
        <v>-1082619.3420000002</v>
      </c>
      <c r="CN29" s="265">
        <f t="shared" si="47"/>
        <v>-2127544.9340000004</v>
      </c>
      <c r="CO29" s="326">
        <f t="shared" ref="CO29:CS29" si="50">CO30-CO31</f>
        <v>-125998.94214000006</v>
      </c>
      <c r="CP29" s="85">
        <f t="shared" si="50"/>
        <v>-273078.73288000003</v>
      </c>
      <c r="CQ29" s="85">
        <f t="shared" si="50"/>
        <v>-767290.24922999926</v>
      </c>
      <c r="CR29" s="329">
        <f>CR30-CR31</f>
        <v>-985219.2032999997</v>
      </c>
      <c r="CS29" s="279">
        <f t="shared" si="50"/>
        <v>-2478047.7669999972</v>
      </c>
      <c r="CT29" s="123"/>
    </row>
    <row r="30" spans="1:98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198">
        <v>8795941.8840000015</v>
      </c>
      <c r="CB30" s="174">
        <v>921874.01300000004</v>
      </c>
      <c r="CC30" s="174">
        <v>1667375.7050000001</v>
      </c>
      <c r="CD30" s="174">
        <v>2369239.2540000002</v>
      </c>
      <c r="CE30" s="174">
        <v>3197973.4049999998</v>
      </c>
      <c r="CF30" s="174">
        <v>4310861.4069999997</v>
      </c>
      <c r="CG30" s="174">
        <v>5525262.7659999998</v>
      </c>
      <c r="CH30" s="174">
        <v>6401506.1500000004</v>
      </c>
      <c r="CI30" s="174">
        <v>7116939.1320000002</v>
      </c>
      <c r="CJ30" s="174">
        <v>7801221.6529999999</v>
      </c>
      <c r="CK30" s="174">
        <v>8486612.0050000008</v>
      </c>
      <c r="CL30" s="174">
        <v>9126045.5999999996</v>
      </c>
      <c r="CM30" s="174">
        <v>10003408.824999999</v>
      </c>
      <c r="CN30" s="263">
        <v>10028189.022</v>
      </c>
      <c r="CO30" s="245">
        <v>821224.52960000001</v>
      </c>
      <c r="CP30" s="174">
        <v>1666342.66808</v>
      </c>
      <c r="CQ30" s="174">
        <v>2207785.6844900004</v>
      </c>
      <c r="CR30" s="174">
        <v>3017954.6485100002</v>
      </c>
      <c r="CS30" s="277">
        <v>10201337.632000001</v>
      </c>
      <c r="CT30" s="123"/>
    </row>
    <row r="31" spans="1:98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198">
        <v>10861062.956000002</v>
      </c>
      <c r="CB31" s="174">
        <v>809894.40800000005</v>
      </c>
      <c r="CC31" s="174">
        <v>1689646.9350000001</v>
      </c>
      <c r="CD31" s="174">
        <v>2495318.861</v>
      </c>
      <c r="CE31" s="174">
        <v>3571707.1120000002</v>
      </c>
      <c r="CF31" s="174">
        <v>4355500.2860000003</v>
      </c>
      <c r="CG31" s="174">
        <v>5268833.352</v>
      </c>
      <c r="CH31" s="174">
        <v>6188730.7029999997</v>
      </c>
      <c r="CI31" s="174">
        <v>6920025.5609999998</v>
      </c>
      <c r="CJ31" s="174">
        <v>7679527.2439999999</v>
      </c>
      <c r="CK31" s="174">
        <v>8683853.8110000007</v>
      </c>
      <c r="CL31" s="174">
        <v>9571464.7630000003</v>
      </c>
      <c r="CM31" s="174">
        <v>11086028.166999999</v>
      </c>
      <c r="CN31" s="263">
        <v>12155733.956</v>
      </c>
      <c r="CO31" s="245">
        <v>947223.47174000007</v>
      </c>
      <c r="CP31" s="174">
        <v>1939421.40096</v>
      </c>
      <c r="CQ31" s="174">
        <v>2975075.9337199996</v>
      </c>
      <c r="CR31" s="174">
        <v>4003173.8518099999</v>
      </c>
      <c r="CS31" s="277">
        <v>12679385.398999998</v>
      </c>
    </row>
    <row r="32" spans="1:98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51">O33-O34</f>
        <v>30062.850799999986</v>
      </c>
      <c r="P32" s="6">
        <f t="shared" si="51"/>
        <v>36435.540000000037</v>
      </c>
      <c r="Q32" s="6">
        <f t="shared" si="51"/>
        <v>48575.965000000084</v>
      </c>
      <c r="R32" s="6">
        <f t="shared" si="51"/>
        <v>50522.195000000065</v>
      </c>
      <c r="S32" s="6">
        <f t="shared" si="51"/>
        <v>98778.977999999886</v>
      </c>
      <c r="T32" s="6">
        <f t="shared" si="51"/>
        <v>138036</v>
      </c>
      <c r="U32" s="6">
        <f t="shared" si="51"/>
        <v>182415.87800000003</v>
      </c>
      <c r="V32" s="6">
        <f t="shared" si="51"/>
        <v>234458.10700000008</v>
      </c>
      <c r="W32" s="6">
        <f t="shared" si="51"/>
        <v>247393.12100000004</v>
      </c>
      <c r="X32" s="6">
        <f t="shared" si="5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5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52">AE33-AE34</f>
        <v>-11066.114999999991</v>
      </c>
      <c r="AF32" s="6">
        <f t="shared" si="52"/>
        <v>-6871.8359999998938</v>
      </c>
      <c r="AG32" s="6">
        <f t="shared" si="52"/>
        <v>-44602</v>
      </c>
      <c r="AH32" s="6">
        <f t="shared" si="52"/>
        <v>-223.5679999999702</v>
      </c>
      <c r="AI32" s="6">
        <f t="shared" si="52"/>
        <v>27908.665000000037</v>
      </c>
      <c r="AJ32" s="6">
        <f t="shared" si="52"/>
        <v>18278.586000000127</v>
      </c>
      <c r="AK32" s="6">
        <f t="shared" si="52"/>
        <v>46441.754999999888</v>
      </c>
      <c r="AL32" s="6">
        <f t="shared" si="52"/>
        <v>47299.080999999773</v>
      </c>
      <c r="AM32" s="6">
        <f t="shared" si="52"/>
        <v>114911.25399999972</v>
      </c>
      <c r="AN32" s="87">
        <v>234484.140000001</v>
      </c>
      <c r="AO32" s="6">
        <f t="shared" ref="AO32:AY32" si="53">AO33-AO34</f>
        <v>-62808.075000000012</v>
      </c>
      <c r="AP32" s="6">
        <f t="shared" si="53"/>
        <v>-130183.51300000004</v>
      </c>
      <c r="AQ32" s="6">
        <f t="shared" si="53"/>
        <v>-154114.179</v>
      </c>
      <c r="AR32" s="6">
        <f t="shared" si="53"/>
        <v>-147503.30100000009</v>
      </c>
      <c r="AS32" s="6">
        <f t="shared" si="53"/>
        <v>-113180.11399999983</v>
      </c>
      <c r="AT32" s="6">
        <f t="shared" si="53"/>
        <v>-85892.075000000186</v>
      </c>
      <c r="AU32" s="6">
        <f t="shared" si="53"/>
        <v>-24790.077000000048</v>
      </c>
      <c r="AV32" s="6">
        <f t="shared" si="53"/>
        <v>1407.3530000001192</v>
      </c>
      <c r="AW32" s="6">
        <f t="shared" si="53"/>
        <v>30609.788000000175</v>
      </c>
      <c r="AX32" s="6">
        <f t="shared" si="53"/>
        <v>63006.825000000186</v>
      </c>
      <c r="AY32" s="6">
        <f t="shared" si="53"/>
        <v>38267.962000000291</v>
      </c>
      <c r="AZ32" s="6">
        <f t="shared" ref="AZ32:CN32" si="54">AZ33-AZ34</f>
        <v>200524.48600000003</v>
      </c>
      <c r="BA32" s="87">
        <f t="shared" si="54"/>
        <v>-21564.299000000115</v>
      </c>
      <c r="BB32" s="6">
        <f t="shared" si="54"/>
        <v>108554.179</v>
      </c>
      <c r="BC32" s="6">
        <f t="shared" si="54"/>
        <v>98735.641000000061</v>
      </c>
      <c r="BD32" s="6">
        <f t="shared" si="54"/>
        <v>78145.562999999966</v>
      </c>
      <c r="BE32" s="6">
        <f t="shared" si="54"/>
        <v>87696.664000000106</v>
      </c>
      <c r="BF32" s="6">
        <f t="shared" si="54"/>
        <v>41467.940999999875</v>
      </c>
      <c r="BG32" s="6">
        <f t="shared" si="54"/>
        <v>205002.22399999993</v>
      </c>
      <c r="BH32" s="6">
        <f t="shared" ref="BH32:BI32" si="55">BH33-BH34</f>
        <v>326863.35100000026</v>
      </c>
      <c r="BI32" s="6">
        <f t="shared" si="55"/>
        <v>350378.41999999993</v>
      </c>
      <c r="BJ32" s="6">
        <f t="shared" si="54"/>
        <v>320128.89399999985</v>
      </c>
      <c r="BK32" s="6">
        <f t="shared" si="54"/>
        <v>371998.29799999995</v>
      </c>
      <c r="BL32" s="6">
        <f t="shared" si="54"/>
        <v>349474.929</v>
      </c>
      <c r="BM32" s="6">
        <f t="shared" si="54"/>
        <v>343526.23900000006</v>
      </c>
      <c r="BN32" s="87">
        <f t="shared" si="54"/>
        <v>52141.845000000205</v>
      </c>
      <c r="BO32" s="6">
        <f t="shared" si="54"/>
        <v>21850.373000000021</v>
      </c>
      <c r="BP32" s="170">
        <f t="shared" si="54"/>
        <v>8860.8950000000186</v>
      </c>
      <c r="BQ32" s="6">
        <f t="shared" si="54"/>
        <v>-67878.96100000001</v>
      </c>
      <c r="BR32" s="6">
        <f t="shared" si="54"/>
        <v>-59148.922999999952</v>
      </c>
      <c r="BS32" s="6">
        <f t="shared" si="54"/>
        <v>-18273.459999999963</v>
      </c>
      <c r="BT32" s="6">
        <f t="shared" si="54"/>
        <v>18868.96800000011</v>
      </c>
      <c r="BU32" s="6">
        <f t="shared" si="54"/>
        <v>100483.56599999964</v>
      </c>
      <c r="BV32" s="6">
        <f t="shared" si="54"/>
        <v>112828.99300000025</v>
      </c>
      <c r="BW32" s="6">
        <f t="shared" si="54"/>
        <v>184000.50499999989</v>
      </c>
      <c r="BX32" s="6">
        <f t="shared" si="54"/>
        <v>205121.19900000002</v>
      </c>
      <c r="BY32" s="170">
        <f t="shared" si="54"/>
        <v>216425.06699999981</v>
      </c>
      <c r="BZ32" s="6">
        <f t="shared" si="54"/>
        <v>251412.78200000059</v>
      </c>
      <c r="CA32" s="199">
        <v>113700.62300000014</v>
      </c>
      <c r="CB32" s="191">
        <f t="shared" si="54"/>
        <v>34837.439000000013</v>
      </c>
      <c r="CC32" s="6">
        <f t="shared" si="54"/>
        <v>55473.418000000063</v>
      </c>
      <c r="CD32" s="6">
        <f t="shared" si="54"/>
        <v>83250.759000000078</v>
      </c>
      <c r="CE32" s="6">
        <f t="shared" si="54"/>
        <v>139544.30599999987</v>
      </c>
      <c r="CF32" s="6">
        <f t="shared" si="54"/>
        <v>171040.53099999996</v>
      </c>
      <c r="CG32" s="6">
        <f t="shared" si="54"/>
        <v>207935.19800000032</v>
      </c>
      <c r="CH32" s="6">
        <f t="shared" si="54"/>
        <v>250065.54900000012</v>
      </c>
      <c r="CI32" s="6">
        <f t="shared" si="54"/>
        <v>300845.93399999989</v>
      </c>
      <c r="CJ32" s="6">
        <f t="shared" si="54"/>
        <v>313731.5</v>
      </c>
      <c r="CK32" s="6">
        <f t="shared" si="54"/>
        <v>331664.57599999988</v>
      </c>
      <c r="CL32" s="6">
        <f t="shared" si="54"/>
        <v>340898.75600000005</v>
      </c>
      <c r="CM32" s="6">
        <f t="shared" si="54"/>
        <v>337134.9589999998</v>
      </c>
      <c r="CN32" s="265">
        <f t="shared" si="54"/>
        <v>408180.55800000019</v>
      </c>
      <c r="CO32" s="325">
        <f t="shared" ref="CO32:CS32" si="56">CO33-CO34</f>
        <v>82756.072209999897</v>
      </c>
      <c r="CP32" s="85">
        <f t="shared" si="56"/>
        <v>81244.570410000044</v>
      </c>
      <c r="CQ32" s="85">
        <f t="shared" si="56"/>
        <v>98564.328629999887</v>
      </c>
      <c r="CR32" s="327">
        <f t="shared" si="56"/>
        <v>65220.430290000048</v>
      </c>
      <c r="CS32" s="279">
        <f t="shared" si="56"/>
        <v>465328.1400000006</v>
      </c>
    </row>
    <row r="33" spans="1:98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198">
        <v>4197016.0610000007</v>
      </c>
      <c r="CB33" s="174">
        <v>418920.08</v>
      </c>
      <c r="CC33" s="174">
        <v>794439.72900000005</v>
      </c>
      <c r="CD33" s="174">
        <v>1149343.7660000001</v>
      </c>
      <c r="CE33" s="174">
        <v>1567563.6459999999</v>
      </c>
      <c r="CF33" s="174">
        <v>1948385.348</v>
      </c>
      <c r="CG33" s="174">
        <v>2331356.7080000001</v>
      </c>
      <c r="CH33" s="174">
        <v>2725972.199</v>
      </c>
      <c r="CI33" s="174">
        <v>3127367.0460000001</v>
      </c>
      <c r="CJ33" s="174">
        <v>3496960.4279999998</v>
      </c>
      <c r="CK33" s="174">
        <v>3891028.2459999998</v>
      </c>
      <c r="CL33" s="174">
        <v>4274321.9840000002</v>
      </c>
      <c r="CM33" s="174">
        <v>4649024.5209999997</v>
      </c>
      <c r="CN33" s="263">
        <v>4760715.4029999999</v>
      </c>
      <c r="CO33" s="245">
        <v>467815.38360999996</v>
      </c>
      <c r="CP33" s="174">
        <v>848620.30449999997</v>
      </c>
      <c r="CQ33" s="174">
        <v>1247935.3806099999</v>
      </c>
      <c r="CR33" s="174">
        <v>1659809.6772299998</v>
      </c>
      <c r="CS33" s="277">
        <v>5208970.6230000006</v>
      </c>
    </row>
    <row r="34" spans="1:98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198">
        <v>4083315.4380000005</v>
      </c>
      <c r="CB34" s="174">
        <v>384082.641</v>
      </c>
      <c r="CC34" s="174">
        <v>738966.31099999999</v>
      </c>
      <c r="CD34" s="174">
        <v>1066093.007</v>
      </c>
      <c r="CE34" s="174">
        <v>1428019.34</v>
      </c>
      <c r="CF34" s="174">
        <v>1777344.817</v>
      </c>
      <c r="CG34" s="174">
        <v>2123421.5099999998</v>
      </c>
      <c r="CH34" s="174">
        <v>2475906.65</v>
      </c>
      <c r="CI34" s="174">
        <v>2826521.1120000002</v>
      </c>
      <c r="CJ34" s="174">
        <v>3183228.9279999998</v>
      </c>
      <c r="CK34" s="174">
        <v>3559363.67</v>
      </c>
      <c r="CL34" s="174">
        <v>3933423.2280000001</v>
      </c>
      <c r="CM34" s="174">
        <v>4311889.5619999999</v>
      </c>
      <c r="CN34" s="263">
        <v>4352534.8449999997</v>
      </c>
      <c r="CO34" s="245">
        <v>385059.31140000006</v>
      </c>
      <c r="CP34" s="174">
        <v>767375.73408999993</v>
      </c>
      <c r="CQ34" s="174">
        <v>1149371.05198</v>
      </c>
      <c r="CR34" s="174">
        <v>1594589.2469399997</v>
      </c>
      <c r="CS34" s="277">
        <v>4743642.483</v>
      </c>
    </row>
    <row r="35" spans="1:98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57">O36-O37</f>
        <v>20125.769000000004</v>
      </c>
      <c r="P35" s="6">
        <f t="shared" si="57"/>
        <v>26706.359999999993</v>
      </c>
      <c r="Q35" s="6">
        <f t="shared" si="57"/>
        <v>18106</v>
      </c>
      <c r="R35" s="6">
        <f t="shared" si="57"/>
        <v>37082.602999999974</v>
      </c>
      <c r="S35" s="6">
        <f t="shared" si="57"/>
        <v>25890.687000000005</v>
      </c>
      <c r="T35" s="6">
        <f t="shared" si="57"/>
        <v>14210</v>
      </c>
      <c r="U35" s="6">
        <f t="shared" si="57"/>
        <v>29532.22</v>
      </c>
      <c r="V35" s="6">
        <f t="shared" si="57"/>
        <v>36858.728000000003</v>
      </c>
      <c r="W35" s="6">
        <f t="shared" si="57"/>
        <v>33456.946999999986</v>
      </c>
      <c r="X35" s="6">
        <f t="shared" si="57"/>
        <v>55495.402999999991</v>
      </c>
      <c r="Y35" s="6">
        <f t="shared" si="57"/>
        <v>38072.986000000034</v>
      </c>
      <c r="Z35" s="6">
        <f t="shared" si="57"/>
        <v>17951.097999999998</v>
      </c>
      <c r="AA35" s="87">
        <v>4200</v>
      </c>
      <c r="AB35" s="6">
        <f t="shared" si="57"/>
        <v>7480.8660000000018</v>
      </c>
      <c r="AC35" s="6">
        <f t="shared" si="57"/>
        <v>30945.457999999999</v>
      </c>
      <c r="AD35" s="116">
        <v>23077.899000000005</v>
      </c>
      <c r="AE35" s="6">
        <f t="shared" si="57"/>
        <v>45237.391999999993</v>
      </c>
      <c r="AF35" s="6">
        <f t="shared" si="57"/>
        <v>32492.027000000002</v>
      </c>
      <c r="AG35" s="6">
        <f t="shared" si="57"/>
        <v>20893</v>
      </c>
      <c r="AH35" s="6">
        <f t="shared" si="57"/>
        <v>26919.184999999998</v>
      </c>
      <c r="AI35" s="6">
        <f t="shared" ref="AI35:BA35" si="58">AI36-AI37</f>
        <v>39064.102999999945</v>
      </c>
      <c r="AJ35" s="6">
        <f t="shared" si="58"/>
        <v>37108.40399999998</v>
      </c>
      <c r="AK35" s="6">
        <f t="shared" si="58"/>
        <v>57372.97900000005</v>
      </c>
      <c r="AL35" s="6">
        <f t="shared" si="58"/>
        <v>42852.862000000023</v>
      </c>
      <c r="AM35" s="6">
        <f t="shared" si="58"/>
        <v>17274.233000000007</v>
      </c>
      <c r="AN35" s="87">
        <v>1720.58399999997</v>
      </c>
      <c r="AO35" s="6">
        <f t="shared" si="58"/>
        <v>35758.362999999998</v>
      </c>
      <c r="AP35" s="6">
        <f t="shared" si="58"/>
        <v>36373.306000000004</v>
      </c>
      <c r="AQ35" s="6">
        <f t="shared" si="58"/>
        <v>45071.747000000032</v>
      </c>
      <c r="AR35" s="6">
        <f t="shared" si="58"/>
        <v>60648.703000000009</v>
      </c>
      <c r="AS35" s="6">
        <f t="shared" si="58"/>
        <v>45510.429000000033</v>
      </c>
      <c r="AT35" s="6">
        <f t="shared" si="58"/>
        <v>28266.337000000029</v>
      </c>
      <c r="AU35" s="6">
        <f t="shared" si="58"/>
        <v>43240.699000000022</v>
      </c>
      <c r="AV35" s="6">
        <f t="shared" si="58"/>
        <v>47176.137999999977</v>
      </c>
      <c r="AW35" s="6">
        <f t="shared" si="58"/>
        <v>39069.009999999951</v>
      </c>
      <c r="AX35" s="6">
        <f t="shared" si="58"/>
        <v>57457.46100000001</v>
      </c>
      <c r="AY35" s="6">
        <f t="shared" si="58"/>
        <v>42898.005000000005</v>
      </c>
      <c r="AZ35" s="6">
        <f>AZ36-AZ37</f>
        <v>25941.059000000008</v>
      </c>
      <c r="BA35" s="87">
        <f t="shared" si="58"/>
        <v>-11681.627169999992</v>
      </c>
      <c r="BB35" s="6">
        <f t="shared" ref="BB35:CN35" si="59">BB36-BB37</f>
        <v>26013.054000000004</v>
      </c>
      <c r="BC35" s="6">
        <f t="shared" si="59"/>
        <v>51475.959999999992</v>
      </c>
      <c r="BD35" s="6">
        <f t="shared" si="59"/>
        <v>42520.129000000001</v>
      </c>
      <c r="BE35" s="6">
        <f t="shared" si="59"/>
        <v>72311.263999999996</v>
      </c>
      <c r="BF35" s="6">
        <f t="shared" si="59"/>
        <v>56367.350000000035</v>
      </c>
      <c r="BG35" s="6">
        <f t="shared" si="59"/>
        <v>36076.94</v>
      </c>
      <c r="BH35" s="6">
        <f t="shared" ref="BH35:BI35" si="60">BH36-BH37</f>
        <v>48840.738000000012</v>
      </c>
      <c r="BI35" s="6">
        <f t="shared" si="60"/>
        <v>52873.907999999996</v>
      </c>
      <c r="BJ35" s="6">
        <f t="shared" si="59"/>
        <v>48991.963999999978</v>
      </c>
      <c r="BK35" s="6">
        <f t="shared" si="59"/>
        <v>75732.864999999991</v>
      </c>
      <c r="BL35" s="6">
        <f t="shared" si="59"/>
        <v>56931.328999999969</v>
      </c>
      <c r="BM35" s="6">
        <f t="shared" si="59"/>
        <v>33835.040999999968</v>
      </c>
      <c r="BN35" s="87">
        <f t="shared" si="59"/>
        <v>-26874.507000000041</v>
      </c>
      <c r="BO35" s="6">
        <f t="shared" si="59"/>
        <v>11329.876</v>
      </c>
      <c r="BP35" s="170">
        <f t="shared" si="59"/>
        <v>25222.025999999998</v>
      </c>
      <c r="BQ35" s="6">
        <f t="shared" si="59"/>
        <v>15031.947000000015</v>
      </c>
      <c r="BR35" s="6">
        <f t="shared" si="59"/>
        <v>37788.394</v>
      </c>
      <c r="BS35" s="6">
        <f t="shared" si="59"/>
        <v>24130.152000000002</v>
      </c>
      <c r="BT35" s="6">
        <f t="shared" si="59"/>
        <v>8531.0579999999609</v>
      </c>
      <c r="BU35" s="6">
        <f t="shared" si="59"/>
        <v>38231.170999999973</v>
      </c>
      <c r="BV35" s="6">
        <f t="shared" si="59"/>
        <v>48648.719999999972</v>
      </c>
      <c r="BW35" s="6">
        <f t="shared" si="59"/>
        <v>40664.613000000012</v>
      </c>
      <c r="BX35" s="6">
        <f t="shared" si="59"/>
        <v>66209.320999999996</v>
      </c>
      <c r="BY35" s="170">
        <f t="shared" si="59"/>
        <v>48836.099999999977</v>
      </c>
      <c r="BZ35" s="6">
        <f t="shared" si="59"/>
        <v>12992.520000000019</v>
      </c>
      <c r="CA35" s="199">
        <v>-5968.4269056605408</v>
      </c>
      <c r="CB35" s="191">
        <f t="shared" si="59"/>
        <v>19947.063999999998</v>
      </c>
      <c r="CC35" s="6">
        <f t="shared" si="59"/>
        <v>19469.566999999995</v>
      </c>
      <c r="CD35" s="6">
        <f t="shared" si="59"/>
        <v>16414.676999999996</v>
      </c>
      <c r="CE35" s="6">
        <f t="shared" si="59"/>
        <v>58800.811000000016</v>
      </c>
      <c r="CF35" s="6">
        <f t="shared" si="59"/>
        <v>49517.22099999999</v>
      </c>
      <c r="CG35" s="6">
        <f t="shared" ref="CG35:CM35" si="61">CG36-CG37</f>
        <v>43851.594999999972</v>
      </c>
      <c r="CH35" s="6">
        <f t="shared" si="61"/>
        <v>68781.166000000027</v>
      </c>
      <c r="CI35" s="6">
        <f t="shared" si="61"/>
        <v>67315.008000000031</v>
      </c>
      <c r="CJ35" s="6">
        <f t="shared" si="61"/>
        <v>61921.563000000024</v>
      </c>
      <c r="CK35" s="6">
        <f t="shared" si="61"/>
        <v>61069.431999999972</v>
      </c>
      <c r="CL35" s="6">
        <f t="shared" si="61"/>
        <v>65302.324999999953</v>
      </c>
      <c r="CM35" s="6">
        <f t="shared" si="61"/>
        <v>60639.342999999993</v>
      </c>
      <c r="CN35" s="265">
        <f t="shared" si="59"/>
        <v>3193.8680790516082</v>
      </c>
      <c r="CO35" s="325">
        <f t="shared" ref="CO35:CS35" si="62">CO36-CO37</f>
        <v>-1106.2669999999998</v>
      </c>
      <c r="CP35" s="85">
        <f t="shared" si="62"/>
        <v>-31413.065000000002</v>
      </c>
      <c r="CQ35" s="85">
        <f t="shared" si="62"/>
        <v>-60712.273000000001</v>
      </c>
      <c r="CR35" s="327">
        <f t="shared" si="62"/>
        <v>-104006.78399999999</v>
      </c>
      <c r="CS35" s="279">
        <f t="shared" si="62"/>
        <v>18835.368999999948</v>
      </c>
      <c r="CT35" s="123"/>
    </row>
    <row r="36" spans="1:98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54511.644</v>
      </c>
      <c r="AP36" s="90">
        <v>89194.72600000001</v>
      </c>
      <c r="AQ36" s="90">
        <v>135818.63100000002</v>
      </c>
      <c r="AR36" s="90">
        <v>192813.96900000001</v>
      </c>
      <c r="AS36" s="90">
        <v>216833.45100000003</v>
      </c>
      <c r="AT36" s="90">
        <v>240910.32200000004</v>
      </c>
      <c r="AU36" s="90">
        <v>302240.49700000003</v>
      </c>
      <c r="AV36" s="90">
        <v>344021.11800000002</v>
      </c>
      <c r="AW36" s="90">
        <v>370795.63099999999</v>
      </c>
      <c r="AX36" s="90">
        <v>431399.51300000004</v>
      </c>
      <c r="AY36" s="90">
        <v>460250.79700000002</v>
      </c>
      <c r="AZ36" s="90">
        <v>510809.92500000005</v>
      </c>
      <c r="BA36" s="84">
        <v>485884.43599999999</v>
      </c>
      <c r="BB36" s="90">
        <v>50719.700000000004</v>
      </c>
      <c r="BC36" s="125">
        <v>113831.80799999999</v>
      </c>
      <c r="BD36" s="125">
        <v>154749.527</v>
      </c>
      <c r="BE36" s="125">
        <v>225838.302</v>
      </c>
      <c r="BF36" s="125">
        <v>252916.03900000002</v>
      </c>
      <c r="BG36" s="125">
        <v>275943.49300000002</v>
      </c>
      <c r="BH36" s="125">
        <v>336502.43599999999</v>
      </c>
      <c r="BI36" s="125">
        <v>379467.53700000001</v>
      </c>
      <c r="BJ36" s="125">
        <v>415903.47700000001</v>
      </c>
      <c r="BK36" s="125">
        <v>492216.07</v>
      </c>
      <c r="BL36" s="125">
        <v>520886.88699999999</v>
      </c>
      <c r="BM36" s="125">
        <v>572400.326</v>
      </c>
      <c r="BN36" s="84">
        <v>519295.99400000001</v>
      </c>
      <c r="BO36" s="133">
        <v>42654.006000000001</v>
      </c>
      <c r="BP36" s="133">
        <v>101253.356</v>
      </c>
      <c r="BQ36" s="133">
        <v>141387.34400000001</v>
      </c>
      <c r="BR36" s="133">
        <v>212822.59400000001</v>
      </c>
      <c r="BS36" s="133">
        <v>245979.568</v>
      </c>
      <c r="BT36" s="133">
        <v>282368.09899999999</v>
      </c>
      <c r="BU36" s="133">
        <v>362657.951</v>
      </c>
      <c r="BV36" s="133">
        <v>416735.10399999999</v>
      </c>
      <c r="BW36" s="133">
        <v>450814.212</v>
      </c>
      <c r="BX36" s="133">
        <v>527917.147</v>
      </c>
      <c r="BY36" s="174">
        <v>567580.91599999997</v>
      </c>
      <c r="BZ36" s="9">
        <v>613581.10499999998</v>
      </c>
      <c r="CA36" s="198">
        <v>583451.06099999987</v>
      </c>
      <c r="CB36" s="174">
        <v>54654.082999999999</v>
      </c>
      <c r="CC36" s="174">
        <v>106251.155</v>
      </c>
      <c r="CD36" s="174">
        <v>151506.78</v>
      </c>
      <c r="CE36" s="174">
        <v>242464.35800000001</v>
      </c>
      <c r="CF36" s="174">
        <v>279394.065</v>
      </c>
      <c r="CG36" s="174">
        <v>323323.946</v>
      </c>
      <c r="CH36" s="174">
        <v>403768.15500000003</v>
      </c>
      <c r="CI36" s="174">
        <v>445720.87400000001</v>
      </c>
      <c r="CJ36" s="174">
        <v>481072.83199999999</v>
      </c>
      <c r="CK36" s="174">
        <v>541499.86699999997</v>
      </c>
      <c r="CL36" s="174">
        <v>603027.13399999996</v>
      </c>
      <c r="CM36" s="174">
        <v>677462.42599999998</v>
      </c>
      <c r="CN36" s="263">
        <v>617098.16799999995</v>
      </c>
      <c r="CO36" s="245">
        <v>30801.06</v>
      </c>
      <c r="CP36" s="174">
        <v>47751.474000000002</v>
      </c>
      <c r="CQ36" s="174">
        <v>70575.08</v>
      </c>
      <c r="CR36" s="174">
        <v>86668.861000000004</v>
      </c>
      <c r="CS36" s="277">
        <v>678367.09699999995</v>
      </c>
    </row>
    <row r="37" spans="1:98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18753.281000000003</v>
      </c>
      <c r="AP37" s="90">
        <v>52821.420000000006</v>
      </c>
      <c r="AQ37" s="90">
        <v>90746.883999999991</v>
      </c>
      <c r="AR37" s="90">
        <v>132165.266</v>
      </c>
      <c r="AS37" s="90">
        <v>171323.022</v>
      </c>
      <c r="AT37" s="90">
        <v>212643.98500000002</v>
      </c>
      <c r="AU37" s="90">
        <v>258999.79800000001</v>
      </c>
      <c r="AV37" s="90">
        <v>296844.98000000004</v>
      </c>
      <c r="AW37" s="90">
        <v>331726.62100000004</v>
      </c>
      <c r="AX37" s="90">
        <v>373942.05200000003</v>
      </c>
      <c r="AY37" s="90">
        <v>417352.79200000002</v>
      </c>
      <c r="AZ37" s="90">
        <v>484868.86600000004</v>
      </c>
      <c r="BA37" s="84">
        <v>497566.06316999998</v>
      </c>
      <c r="BB37" s="90">
        <v>24706.646000000001</v>
      </c>
      <c r="BC37" s="125">
        <v>62355.847999999998</v>
      </c>
      <c r="BD37" s="125">
        <v>112229.398</v>
      </c>
      <c r="BE37" s="125">
        <v>153527.038</v>
      </c>
      <c r="BF37" s="125">
        <v>196548.68899999998</v>
      </c>
      <c r="BG37" s="125">
        <v>239866.55300000001</v>
      </c>
      <c r="BH37" s="125">
        <v>287661.69799999997</v>
      </c>
      <c r="BI37" s="125">
        <v>326593.62900000002</v>
      </c>
      <c r="BJ37" s="125">
        <v>366911.51300000004</v>
      </c>
      <c r="BK37" s="125">
        <v>416483.20500000002</v>
      </c>
      <c r="BL37" s="125">
        <v>463955.55800000002</v>
      </c>
      <c r="BM37" s="125">
        <v>538565.28500000003</v>
      </c>
      <c r="BN37" s="84">
        <v>546170.50100000005</v>
      </c>
      <c r="BO37" s="133">
        <v>31324.13</v>
      </c>
      <c r="BP37" s="133">
        <v>76031.33</v>
      </c>
      <c r="BQ37" s="133">
        <v>126355.397</v>
      </c>
      <c r="BR37" s="133">
        <v>175034.2</v>
      </c>
      <c r="BS37" s="133">
        <v>221849.416</v>
      </c>
      <c r="BT37" s="133">
        <v>273837.04100000003</v>
      </c>
      <c r="BU37" s="133">
        <v>324426.78000000003</v>
      </c>
      <c r="BV37" s="133">
        <v>368086.38400000002</v>
      </c>
      <c r="BW37" s="133">
        <v>410149.59899999999</v>
      </c>
      <c r="BX37" s="133">
        <v>461707.826</v>
      </c>
      <c r="BY37" s="174">
        <v>518744.81599999999</v>
      </c>
      <c r="BZ37" s="9">
        <v>600588.58499999996</v>
      </c>
      <c r="CA37" s="198">
        <v>589419.48790566041</v>
      </c>
      <c r="CB37" s="174">
        <v>34707.019</v>
      </c>
      <c r="CC37" s="174">
        <v>86781.588000000003</v>
      </c>
      <c r="CD37" s="174">
        <v>135092.103</v>
      </c>
      <c r="CE37" s="174">
        <v>183663.54699999999</v>
      </c>
      <c r="CF37" s="174">
        <v>229876.84400000001</v>
      </c>
      <c r="CG37" s="174">
        <v>279472.35100000002</v>
      </c>
      <c r="CH37" s="174">
        <v>334986.989</v>
      </c>
      <c r="CI37" s="174">
        <v>378405.86599999998</v>
      </c>
      <c r="CJ37" s="174">
        <v>419151.26899999997</v>
      </c>
      <c r="CK37" s="174">
        <v>480430.435</v>
      </c>
      <c r="CL37" s="174">
        <v>537724.80900000001</v>
      </c>
      <c r="CM37" s="174">
        <v>616823.08299999998</v>
      </c>
      <c r="CN37" s="263">
        <v>613904.29992094834</v>
      </c>
      <c r="CO37" s="245">
        <v>31907.327000000001</v>
      </c>
      <c r="CP37" s="174">
        <v>79164.539000000004</v>
      </c>
      <c r="CQ37" s="174">
        <v>131287.353</v>
      </c>
      <c r="CR37" s="174">
        <v>190675.64499999999</v>
      </c>
      <c r="CS37" s="277">
        <v>659531.728</v>
      </c>
    </row>
    <row r="38" spans="1:98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63">O39-O40</f>
        <v>-164652.4</v>
      </c>
      <c r="P38" s="6">
        <f t="shared" si="63"/>
        <v>119649.43300000002</v>
      </c>
      <c r="Q38" s="6">
        <f t="shared" si="63"/>
        <v>142151.5830000001</v>
      </c>
      <c r="R38" s="6">
        <f t="shared" si="63"/>
        <v>142217.78000000003</v>
      </c>
      <c r="S38" s="6">
        <f t="shared" si="63"/>
        <v>144113.11900000006</v>
      </c>
      <c r="T38" s="6">
        <f t="shared" si="63"/>
        <v>116172</v>
      </c>
      <c r="U38" s="6">
        <f t="shared" si="63"/>
        <v>96076.564000000013</v>
      </c>
      <c r="V38" s="6">
        <f t="shared" si="63"/>
        <v>99085.07200000016</v>
      </c>
      <c r="W38" s="6">
        <f t="shared" si="63"/>
        <v>113552</v>
      </c>
      <c r="X38" s="6">
        <f t="shared" si="63"/>
        <v>107451.56099999975</v>
      </c>
      <c r="Y38" s="6">
        <f t="shared" si="63"/>
        <v>119302.79699999979</v>
      </c>
      <c r="Z38" s="6">
        <f t="shared" si="63"/>
        <v>50170.640999999829</v>
      </c>
      <c r="AA38" s="87">
        <f t="shared" si="63"/>
        <v>-61400</v>
      </c>
      <c r="AB38" s="6">
        <f t="shared" si="63"/>
        <v>108823.12500000003</v>
      </c>
      <c r="AC38" s="6">
        <f t="shared" si="63"/>
        <v>152159.19900000002</v>
      </c>
      <c r="AD38" s="116">
        <v>143649</v>
      </c>
      <c r="AE38" s="6">
        <f t="shared" si="63"/>
        <v>125121</v>
      </c>
      <c r="AF38" s="6">
        <f t="shared" si="63"/>
        <v>125388.18999999994</v>
      </c>
      <c r="AG38" s="6">
        <f t="shared" si="63"/>
        <v>101368</v>
      </c>
      <c r="AH38" s="6">
        <f t="shared" si="63"/>
        <v>94979.466999999946</v>
      </c>
      <c r="AI38" s="6">
        <f t="shared" ref="AI38:BA38" si="64">AI39-AI40</f>
        <v>109691.16599999997</v>
      </c>
      <c r="AJ38" s="6">
        <f t="shared" si="64"/>
        <v>111090.82599999988</v>
      </c>
      <c r="AK38" s="6">
        <f t="shared" si="64"/>
        <v>88540.959999999963</v>
      </c>
      <c r="AL38" s="6">
        <f t="shared" si="64"/>
        <v>78987.441000000108</v>
      </c>
      <c r="AM38" s="6">
        <f t="shared" si="64"/>
        <v>-39396.37099999981</v>
      </c>
      <c r="AN38" s="87">
        <v>-78578.826332102399</v>
      </c>
      <c r="AO38" s="6">
        <f t="shared" si="64"/>
        <v>51841.777000000002</v>
      </c>
      <c r="AP38" s="6">
        <f t="shared" si="64"/>
        <v>107011.89399999997</v>
      </c>
      <c r="AQ38" s="6">
        <f t="shared" si="64"/>
        <v>136866.31499999994</v>
      </c>
      <c r="AR38" s="6">
        <f t="shared" si="64"/>
        <v>71755.584000000032</v>
      </c>
      <c r="AS38" s="6">
        <f t="shared" si="64"/>
        <v>97451.14599999995</v>
      </c>
      <c r="AT38" s="6">
        <f t="shared" si="64"/>
        <v>43904.827000000048</v>
      </c>
      <c r="AU38" s="6">
        <f t="shared" si="64"/>
        <v>29653.451999999816</v>
      </c>
      <c r="AV38" s="6">
        <f t="shared" si="64"/>
        <v>33579</v>
      </c>
      <c r="AW38" s="6">
        <f t="shared" si="64"/>
        <v>21501.570999999996</v>
      </c>
      <c r="AX38" s="6">
        <f t="shared" si="64"/>
        <v>69163.685000000056</v>
      </c>
      <c r="AY38" s="6">
        <f t="shared" si="64"/>
        <v>43347</v>
      </c>
      <c r="AZ38" s="6">
        <f>AZ39-AZ40</f>
        <v>-91047.788000000175</v>
      </c>
      <c r="BA38" s="87">
        <f t="shared" si="64"/>
        <v>-74808.627526890021</v>
      </c>
      <c r="BB38" s="6">
        <f t="shared" ref="BB38:CN38" si="65">BB39-BB40</f>
        <v>16703.922999999981</v>
      </c>
      <c r="BC38" s="6">
        <f t="shared" si="65"/>
        <v>164205.67099999997</v>
      </c>
      <c r="BD38" s="6">
        <f t="shared" si="65"/>
        <v>145513.56299999997</v>
      </c>
      <c r="BE38" s="6">
        <f t="shared" si="65"/>
        <v>164636.58299999998</v>
      </c>
      <c r="BF38" s="6">
        <f t="shared" si="65"/>
        <v>153483.09400000004</v>
      </c>
      <c r="BG38" s="6">
        <f t="shared" si="65"/>
        <v>152800.46600000001</v>
      </c>
      <c r="BH38" s="6">
        <f t="shared" ref="BH38:BI38" si="66">BH39-BH40</f>
        <v>179788.75600000005</v>
      </c>
      <c r="BI38" s="6">
        <f t="shared" si="66"/>
        <v>213558.67400000012</v>
      </c>
      <c r="BJ38" s="6">
        <f t="shared" si="65"/>
        <v>236659.66800000006</v>
      </c>
      <c r="BK38" s="6">
        <f t="shared" si="65"/>
        <v>266405.75499999989</v>
      </c>
      <c r="BL38" s="6">
        <f t="shared" si="65"/>
        <v>235826.10300000012</v>
      </c>
      <c r="BM38" s="6">
        <f t="shared" si="65"/>
        <v>62884.158999999985</v>
      </c>
      <c r="BN38" s="87">
        <f t="shared" si="65"/>
        <v>-196032.33908291021</v>
      </c>
      <c r="BO38" s="6">
        <f t="shared" si="65"/>
        <v>84479.097999999998</v>
      </c>
      <c r="BP38" s="170">
        <f t="shared" si="65"/>
        <v>119462.89199999999</v>
      </c>
      <c r="BQ38" s="6">
        <f t="shared" si="65"/>
        <v>63449.123999999953</v>
      </c>
      <c r="BR38" s="6">
        <f t="shared" si="65"/>
        <v>44164.059999999939</v>
      </c>
      <c r="BS38" s="6">
        <f t="shared" si="65"/>
        <v>64247.065999999875</v>
      </c>
      <c r="BT38" s="6">
        <f t="shared" si="65"/>
        <v>71601.894000000088</v>
      </c>
      <c r="BU38" s="6">
        <f t="shared" si="65"/>
        <v>87551.969999999972</v>
      </c>
      <c r="BV38" s="6">
        <f t="shared" si="65"/>
        <v>74225.887999999803</v>
      </c>
      <c r="BW38" s="6">
        <f t="shared" si="65"/>
        <v>65410.327000000048</v>
      </c>
      <c r="BX38" s="6">
        <f t="shared" si="65"/>
        <v>65576.429000000004</v>
      </c>
      <c r="BY38" s="170">
        <f t="shared" si="65"/>
        <v>42139.589999999851</v>
      </c>
      <c r="BZ38" s="6">
        <f t="shared" si="65"/>
        <v>-156000.11599999992</v>
      </c>
      <c r="CA38" s="199">
        <v>-41657.882324074861</v>
      </c>
      <c r="CB38" s="191">
        <f t="shared" si="65"/>
        <v>86956.73000000004</v>
      </c>
      <c r="CC38" s="6">
        <f t="shared" si="65"/>
        <v>128177.75699999998</v>
      </c>
      <c r="CD38" s="6">
        <f t="shared" si="65"/>
        <v>67846.929000000004</v>
      </c>
      <c r="CE38" s="6">
        <f t="shared" si="65"/>
        <v>79179.794999999925</v>
      </c>
      <c r="CF38" s="6">
        <f t="shared" si="65"/>
        <v>77228.06799999997</v>
      </c>
      <c r="CG38" s="6">
        <f t="shared" si="65"/>
        <v>95650.273000000045</v>
      </c>
      <c r="CH38" s="6">
        <f t="shared" si="65"/>
        <v>58257.898000000045</v>
      </c>
      <c r="CI38" s="6">
        <f t="shared" si="65"/>
        <v>84890.712000000291</v>
      </c>
      <c r="CJ38" s="6">
        <f t="shared" si="65"/>
        <v>109611.87800000003</v>
      </c>
      <c r="CK38" s="6">
        <f t="shared" si="65"/>
        <v>115883.18699999992</v>
      </c>
      <c r="CL38" s="6">
        <f t="shared" si="65"/>
        <v>101113.06300000008</v>
      </c>
      <c r="CM38" s="6">
        <f t="shared" si="65"/>
        <v>-48286.665000000037</v>
      </c>
      <c r="CN38" s="265">
        <f t="shared" si="65"/>
        <v>-65806.826679674443</v>
      </c>
      <c r="CO38" s="325">
        <f t="shared" ref="CO38:CS38" si="67">CO39-CO40</f>
        <v>69077.213999999978</v>
      </c>
      <c r="CP38" s="85">
        <f t="shared" si="67"/>
        <v>104693.23099999991</v>
      </c>
      <c r="CQ38" s="85">
        <f t="shared" si="67"/>
        <v>134249.902</v>
      </c>
      <c r="CR38" s="327">
        <f t="shared" si="67"/>
        <v>118577.598</v>
      </c>
      <c r="CS38" s="279">
        <f t="shared" si="67"/>
        <v>9999.922533206176</v>
      </c>
    </row>
    <row r="39" spans="1:98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2">
        <v>598759.31099999999</v>
      </c>
      <c r="BQ39" s="162">
        <v>824431.26</v>
      </c>
      <c r="BR39" s="162">
        <v>1087247.409</v>
      </c>
      <c r="BS39" s="162">
        <v>1382290.095</v>
      </c>
      <c r="BT39" s="162">
        <v>1758383.425</v>
      </c>
      <c r="BU39" s="162">
        <v>2059527.352</v>
      </c>
      <c r="BV39" s="162">
        <v>2323877.7349999999</v>
      </c>
      <c r="BW39" s="162">
        <v>2570087.5890000002</v>
      </c>
      <c r="BX39" s="162">
        <v>2885372.93</v>
      </c>
      <c r="BY39" s="174">
        <v>3186321.1359999999</v>
      </c>
      <c r="BZ39" s="9">
        <v>3480946.1510000001</v>
      </c>
      <c r="CA39" s="198">
        <v>3299606.0809999993</v>
      </c>
      <c r="CB39" s="174">
        <v>330116.00300000003</v>
      </c>
      <c r="CC39" s="174">
        <v>653337.29</v>
      </c>
      <c r="CD39" s="174">
        <v>873193.31200000003</v>
      </c>
      <c r="CE39" s="174">
        <v>1194136.774</v>
      </c>
      <c r="CF39" s="174">
        <v>1496456.2679999999</v>
      </c>
      <c r="CG39" s="174">
        <v>1886224.138</v>
      </c>
      <c r="CH39" s="174">
        <v>2175880.3080000002</v>
      </c>
      <c r="CI39" s="174">
        <v>2472728.6630000002</v>
      </c>
      <c r="CJ39" s="174">
        <v>2752889.4380000001</v>
      </c>
      <c r="CK39" s="174">
        <v>3098053.1680000001</v>
      </c>
      <c r="CL39" s="174">
        <v>3427852.2850000001</v>
      </c>
      <c r="CM39" s="174">
        <v>3750944.733</v>
      </c>
      <c r="CN39" s="263">
        <v>3613058.5869999994</v>
      </c>
      <c r="CO39" s="245">
        <v>334083.38199999998</v>
      </c>
      <c r="CP39" s="174">
        <v>655513.34</v>
      </c>
      <c r="CQ39" s="174">
        <v>986235.076</v>
      </c>
      <c r="CR39" s="174">
        <v>1323313.04</v>
      </c>
      <c r="CS39" s="277">
        <v>3966226.5539500001</v>
      </c>
    </row>
    <row r="40" spans="1:98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4">
        <v>760982.13600000006</v>
      </c>
      <c r="BR40" s="125">
        <v>1043083.349</v>
      </c>
      <c r="BS40" s="174">
        <v>1318043.0290000001</v>
      </c>
      <c r="BT40" s="174">
        <v>1686781.531</v>
      </c>
      <c r="BU40" s="174">
        <v>1971975.382</v>
      </c>
      <c r="BV40" s="174">
        <v>2249651.8470000001</v>
      </c>
      <c r="BW40" s="174">
        <v>2504677.2620000001</v>
      </c>
      <c r="BX40" s="174">
        <v>2819796.5010000002</v>
      </c>
      <c r="BY40" s="174">
        <v>3144181.5460000001</v>
      </c>
      <c r="BZ40" s="9">
        <v>3636946.267</v>
      </c>
      <c r="CA40" s="174">
        <v>3341263.9633240742</v>
      </c>
      <c r="CB40" s="245">
        <v>243159.27299999999</v>
      </c>
      <c r="CC40" s="174">
        <v>525159.53300000005</v>
      </c>
      <c r="CD40" s="174">
        <v>805346.38300000003</v>
      </c>
      <c r="CE40" s="174">
        <v>1114956.9790000001</v>
      </c>
      <c r="CF40" s="174">
        <v>1419228.2</v>
      </c>
      <c r="CG40" s="174">
        <v>1790573.865</v>
      </c>
      <c r="CH40" s="174">
        <v>2117622.41</v>
      </c>
      <c r="CI40" s="174">
        <v>2387837.9509999999</v>
      </c>
      <c r="CJ40" s="174">
        <v>2643277.56</v>
      </c>
      <c r="CK40" s="174">
        <v>2982169.9810000001</v>
      </c>
      <c r="CL40" s="174">
        <v>3326739.2220000001</v>
      </c>
      <c r="CM40" s="174">
        <v>3799231.398</v>
      </c>
      <c r="CN40" s="263">
        <v>3678865.4136796738</v>
      </c>
      <c r="CO40" s="245">
        <v>265006.16800000001</v>
      </c>
      <c r="CP40" s="174">
        <v>550820.10900000005</v>
      </c>
      <c r="CQ40" s="174">
        <v>851985.174</v>
      </c>
      <c r="CR40" s="174">
        <v>1204735.442</v>
      </c>
      <c r="CS40" s="277">
        <v>3956226.6314167939</v>
      </c>
    </row>
    <row r="41" spans="1:98" ht="15" customHeight="1">
      <c r="A41" s="94" t="s">
        <v>20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</row>
    <row r="42" spans="1:98" ht="15" customHeight="1">
      <c r="A42" s="319" t="s">
        <v>250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</row>
    <row r="43" spans="1:98" ht="13.5" customHeight="1">
      <c r="A43" s="319" t="s">
        <v>251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CN43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21" customWidth="1"/>
    <col min="7" max="7" width="12" style="221" customWidth="1"/>
    <col min="8" max="8" width="12.109375" style="219" hidden="1" customWidth="1"/>
    <col min="9" max="9" width="11.109375" style="219" hidden="1" customWidth="1"/>
    <col min="10" max="10" width="13.44140625" style="219" hidden="1" customWidth="1"/>
    <col min="11" max="11" width="9" style="219" hidden="1" customWidth="1"/>
    <col min="12" max="12" width="9.44140625" style="219" hidden="1" customWidth="1"/>
    <col min="13" max="13" width="12.44140625" style="219" hidden="1" customWidth="1"/>
    <col min="14" max="14" width="16.109375" style="219" hidden="1" customWidth="1"/>
    <col min="15" max="15" width="20.109375" style="251" hidden="1" customWidth="1"/>
    <col min="16" max="18" width="20.109375" style="251" customWidth="1"/>
    <col min="19" max="19" width="2.33203125" style="251" customWidth="1"/>
    <col min="20" max="20" width="1.109375" style="251" customWidth="1"/>
    <col min="21" max="21" width="2.109375" style="251" customWidth="1"/>
    <col min="22" max="40" width="5.6640625" style="251" customWidth="1"/>
    <col min="41" max="16384" width="5.6640625" style="43"/>
  </cols>
  <sheetData>
    <row r="1" spans="1:51" s="33" customFormat="1" ht="13.8" hidden="1">
      <c r="A1" s="339" t="s">
        <v>37</v>
      </c>
      <c r="B1" s="340"/>
      <c r="C1" s="340"/>
      <c r="D1" s="340"/>
      <c r="E1" s="340"/>
      <c r="F1" s="341"/>
      <c r="G1" s="137"/>
      <c r="H1" s="43"/>
      <c r="I1" s="43"/>
      <c r="J1" s="43"/>
      <c r="K1" s="43"/>
      <c r="L1" s="43"/>
      <c r="M1" s="43"/>
      <c r="N1" s="43"/>
      <c r="O1" s="251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51" s="33" customFormat="1" ht="13.8" hidden="1">
      <c r="A2" s="138" t="s">
        <v>38</v>
      </c>
      <c r="B2" s="337" t="s">
        <v>27</v>
      </c>
      <c r="C2" s="338"/>
      <c r="D2" s="337" t="s">
        <v>39</v>
      </c>
      <c r="E2" s="338"/>
      <c r="F2" s="139" t="s">
        <v>24</v>
      </c>
      <c r="G2" s="137"/>
      <c r="H2" s="43"/>
      <c r="I2" s="43"/>
      <c r="J2" s="43"/>
      <c r="K2" s="43"/>
      <c r="L2" s="43"/>
      <c r="M2" s="43"/>
      <c r="N2" s="43"/>
      <c r="O2" s="251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33" customFormat="1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  <c r="O3" s="251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33" customFormat="1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  <c r="O4" s="251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33" customFormat="1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  <c r="O5" s="251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33" customFormat="1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  <c r="O6" s="25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33" customFormat="1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  <c r="O7" s="251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s="33" customFormat="1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  <c r="O8" s="25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</row>
    <row r="9" spans="1:51" s="33" customFormat="1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  <c r="O9" s="251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33" customFormat="1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  <c r="O10" s="25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</row>
    <row r="11" spans="1:51" s="33" customFormat="1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  <c r="O11" s="251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1" s="33" customFormat="1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  <c r="O12" s="25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</row>
    <row r="13" spans="1:51" s="33" customFormat="1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  <c r="O13" s="251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</row>
    <row r="14" spans="1:51" s="33" customFormat="1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  <c r="O14" s="251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</row>
    <row r="15" spans="1:51" s="33" customFormat="1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  <c r="O15" s="25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</row>
    <row r="16" spans="1:51" s="33" customFormat="1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  <c r="O16" s="251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33" customFormat="1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  <c r="O17" s="251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33" customFormat="1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  <c r="O18" s="251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</row>
    <row r="19" spans="1:51" s="33" customFormat="1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  <c r="O19" s="25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33" customFormat="1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  <c r="O20" s="251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33" customFormat="1" ht="13.8" hidden="1">
      <c r="A21" s="148"/>
      <c r="B21" s="137"/>
      <c r="C21" s="137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  <c r="O21" s="251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51" s="33" customFormat="1" ht="13.8" hidden="1">
      <c r="A22" s="148"/>
      <c r="B22" s="137"/>
      <c r="C22" s="137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  <c r="O22" s="251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</row>
    <row r="23" spans="1:51" s="33" customFormat="1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  <c r="O23" s="25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</row>
    <row r="24" spans="1:51" s="33" customFormat="1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  <c r="O24" s="251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1" s="33" customFormat="1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  <c r="O25" s="251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1" s="33" customFormat="1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  <c r="O26" s="251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</row>
    <row r="27" spans="1:51" s="33" customFormat="1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  <c r="O27" s="251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</row>
    <row r="28" spans="1:51" s="33" customFormat="1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  <c r="O28" s="251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</row>
    <row r="29" spans="1:51" s="33" customFormat="1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  <c r="O29" s="251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</row>
    <row r="30" spans="1:51" s="33" customFormat="1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  <c r="O30" s="251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</row>
    <row r="31" spans="1:51" s="33" customFormat="1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  <c r="O31" s="251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33" customFormat="1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  <c r="O32" s="251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</row>
    <row r="33" spans="1:51" s="33" customFormat="1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  <c r="O33" s="251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</row>
    <row r="34" spans="1:51" s="33" customFormat="1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  <c r="O34" s="251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</row>
    <row r="35" spans="1:51" s="33" customFormat="1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  <c r="O35" s="25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</row>
    <row r="36" spans="1:51" s="33" customFormat="1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  <c r="O36" s="251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</row>
    <row r="37" spans="1:51" s="33" customFormat="1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  <c r="O37" s="251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</row>
    <row r="38" spans="1:51" s="33" customFormat="1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  <c r="O38" s="251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</row>
    <row r="39" spans="1:51" s="33" customFormat="1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  <c r="O39" s="251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</row>
    <row r="40" spans="1:51" s="33" customFormat="1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  <c r="O40" s="25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s="33" customFormat="1" ht="13.8" hidden="1">
      <c r="A41" s="339" t="s">
        <v>55</v>
      </c>
      <c r="B41" s="340"/>
      <c r="C41" s="340"/>
      <c r="D41" s="340"/>
      <c r="E41" s="340"/>
      <c r="F41" s="341"/>
      <c r="G41" s="137"/>
      <c r="H41" s="43"/>
      <c r="I41" s="43"/>
      <c r="J41" s="43"/>
      <c r="K41" s="43"/>
      <c r="L41" s="43"/>
      <c r="M41" s="43"/>
      <c r="N41" s="43"/>
      <c r="O41" s="25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</row>
    <row r="42" spans="1:51" s="33" customFormat="1" ht="13.8" hidden="1">
      <c r="A42" s="138" t="s">
        <v>38</v>
      </c>
      <c r="B42" s="337" t="s">
        <v>27</v>
      </c>
      <c r="C42" s="338"/>
      <c r="D42" s="337" t="s">
        <v>39</v>
      </c>
      <c r="E42" s="338"/>
      <c r="F42" s="139" t="s">
        <v>24</v>
      </c>
      <c r="G42" s="137"/>
      <c r="H42" s="43"/>
      <c r="I42" s="43"/>
      <c r="J42" s="43"/>
      <c r="K42" s="43"/>
      <c r="L42" s="43"/>
      <c r="M42" s="43"/>
      <c r="N42" s="43"/>
      <c r="O42" s="251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</row>
    <row r="43" spans="1:51" s="33" customFormat="1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  <c r="O43" s="25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</row>
    <row r="44" spans="1:51" s="33" customFormat="1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  <c r="O44" s="25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</row>
    <row r="45" spans="1:51" s="33" customFormat="1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  <c r="O45" s="25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</row>
    <row r="46" spans="1:51" s="33" customFormat="1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  <c r="O46" s="251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</row>
    <row r="47" spans="1:51" s="33" customFormat="1" ht="13.8" hidden="1">
      <c r="A47" s="146" t="s">
        <v>44</v>
      </c>
      <c r="B47" s="147"/>
      <c r="C47" s="147">
        <f>K207/100*C7</f>
        <v>-8220.7032479783102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  <c r="O47" s="25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</row>
    <row r="48" spans="1:51" s="33" customFormat="1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  <c r="O48" s="251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</row>
    <row r="49" spans="1:51" s="33" customFormat="1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  <c r="O49" s="25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</row>
    <row r="50" spans="1:51" s="33" customFormat="1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  <c r="O50" s="251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</row>
    <row r="51" spans="1:51" s="33" customFormat="1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  <c r="O51" s="25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</row>
    <row r="52" spans="1:51" s="33" customFormat="1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  <c r="O52" s="251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</row>
    <row r="53" spans="1:51" s="33" customFormat="1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  <c r="O53" s="251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</row>
    <row r="54" spans="1:51" s="33" customFormat="1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  <c r="O54" s="251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</row>
    <row r="55" spans="1:51" s="33" customFormat="1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  <c r="O55" s="251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51" s="33" customFormat="1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  <c r="O56" s="251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51" s="33" customFormat="1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  <c r="O57" s="251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51" s="33" customFormat="1" ht="13.8" hidden="1">
      <c r="A58" s="146" t="s">
        <v>53</v>
      </c>
      <c r="B58" s="147">
        <f>I218/100*B18</f>
        <v>-538839.58317220234</v>
      </c>
      <c r="C58" s="147"/>
      <c r="D58" s="147">
        <f>I218/100*D18</f>
        <v>-344791.52710609348</v>
      </c>
      <c r="E58" s="147"/>
      <c r="F58" s="147">
        <f>B58-D58</f>
        <v>-194048.05606610887</v>
      </c>
      <c r="G58" s="137"/>
      <c r="H58" s="43"/>
      <c r="I58" s="43"/>
      <c r="J58" s="43"/>
      <c r="K58" s="43"/>
      <c r="L58" s="43"/>
      <c r="M58" s="43"/>
      <c r="N58" s="43"/>
      <c r="O58" s="251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s="33" customFormat="1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  <c r="O59" s="25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</row>
    <row r="60" spans="1:51" s="33" customFormat="1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  <c r="O60" s="25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51" s="33" customFormat="1" ht="13.8" hidden="1">
      <c r="A61" s="148"/>
      <c r="B61" s="137"/>
      <c r="C61" s="137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  <c r="O61" s="25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</row>
    <row r="62" spans="1:51" s="33" customFormat="1" ht="13.8" hidden="1">
      <c r="A62" s="148"/>
      <c r="B62" s="137"/>
      <c r="C62" s="137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  <c r="O62" s="25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51" s="33" customFormat="1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  <c r="O63" s="25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</row>
    <row r="64" spans="1:51" s="33" customFormat="1" ht="13.8" hidden="1">
      <c r="A64" s="148"/>
      <c r="B64" s="149" t="s">
        <v>57</v>
      </c>
      <c r="C64" s="149">
        <f>D58</f>
        <v>-344791.52710609348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  <c r="O64" s="25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</row>
    <row r="65" spans="1:51" s="33" customFormat="1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  <c r="O65" s="251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</row>
    <row r="66" spans="1:51" s="33" customFormat="1" ht="13.8" hidden="1">
      <c r="A66" s="148"/>
      <c r="B66" s="149" t="s">
        <v>59</v>
      </c>
      <c r="C66" s="149">
        <f>B58</f>
        <v>-538839.58317220234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  <c r="O66" s="251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</row>
    <row r="67" spans="1:51" s="33" customFormat="1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  <c r="O67" s="251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</row>
    <row r="68" spans="1:51" s="33" customFormat="1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  <c r="O68" s="251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</row>
    <row r="69" spans="1:51" s="33" customFormat="1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  <c r="O69" s="251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</row>
    <row r="70" spans="1:51" s="33" customFormat="1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  <c r="O70" s="251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1:51" s="33" customFormat="1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  <c r="O71" s="251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1:51" s="33" customFormat="1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  <c r="O72" s="251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1:51" s="33" customFormat="1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  <c r="O73" s="25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1:51" s="33" customFormat="1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  <c r="O74" s="251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1:51" s="33" customFormat="1" ht="13.8" hidden="1">
      <c r="A75" s="137"/>
      <c r="B75" s="137"/>
      <c r="C75" s="137"/>
      <c r="D75" s="137"/>
      <c r="E75" s="137"/>
      <c r="F75" s="137"/>
      <c r="G75" s="137"/>
      <c r="H75" s="43"/>
      <c r="I75" s="43"/>
      <c r="J75" s="43"/>
      <c r="K75" s="43"/>
      <c r="L75" s="43"/>
      <c r="M75" s="43"/>
      <c r="N75" s="43"/>
      <c r="O75" s="25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1:51" s="33" customFormat="1" ht="13.8" hidden="1">
      <c r="A76" s="137"/>
      <c r="B76" s="137"/>
      <c r="C76" s="137"/>
      <c r="D76" s="137"/>
      <c r="E76" s="137"/>
      <c r="F76" s="137"/>
      <c r="G76" s="137"/>
      <c r="H76" s="43"/>
      <c r="I76" s="43"/>
      <c r="J76" s="43"/>
      <c r="K76" s="43"/>
      <c r="L76" s="43"/>
      <c r="M76" s="43"/>
      <c r="N76" s="43"/>
      <c r="O76" s="251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s="33" customFormat="1" ht="13.8" hidden="1">
      <c r="A77" s="137"/>
      <c r="B77" s="137"/>
      <c r="C77" s="137"/>
      <c r="D77" s="137"/>
      <c r="E77" s="137"/>
      <c r="F77" s="137"/>
      <c r="G77" s="137"/>
      <c r="H77" s="43"/>
      <c r="I77" s="43"/>
      <c r="J77" s="43"/>
      <c r="K77" s="43"/>
      <c r="L77" s="43"/>
      <c r="M77" s="43"/>
      <c r="N77" s="43"/>
      <c r="O77" s="25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1:51" s="33" customFormat="1" ht="13.8" hidden="1">
      <c r="A78" s="137"/>
      <c r="B78" s="137"/>
      <c r="C78" s="137"/>
      <c r="D78" s="137"/>
      <c r="E78" s="137"/>
      <c r="F78" s="137"/>
      <c r="G78" s="137"/>
      <c r="H78" s="43"/>
      <c r="I78" s="43"/>
      <c r="J78" s="43"/>
      <c r="K78" s="43"/>
      <c r="L78" s="43"/>
      <c r="M78" s="43"/>
      <c r="N78" s="43"/>
      <c r="O78" s="251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1:51" s="33" customFormat="1" ht="13.8" hidden="1">
      <c r="A79" s="137"/>
      <c r="B79" s="137"/>
      <c r="C79" s="137"/>
      <c r="D79" s="137"/>
      <c r="E79" s="137"/>
      <c r="F79" s="137"/>
      <c r="G79" s="137"/>
      <c r="H79" s="43"/>
      <c r="I79" s="43"/>
      <c r="J79" s="43"/>
      <c r="K79" s="43"/>
      <c r="L79" s="43"/>
      <c r="M79" s="43"/>
      <c r="N79" s="43"/>
      <c r="O79" s="251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1:51" s="33" customFormat="1" ht="13.8" hidden="1">
      <c r="A80" s="137"/>
      <c r="B80" s="137"/>
      <c r="C80" s="137"/>
      <c r="D80" s="137"/>
      <c r="E80" s="137"/>
      <c r="F80" s="137"/>
      <c r="G80" s="137"/>
      <c r="H80" s="43"/>
      <c r="I80" s="43"/>
      <c r="J80" s="43"/>
      <c r="K80" s="43"/>
      <c r="L80" s="43"/>
      <c r="M80" s="43"/>
      <c r="N80" s="43"/>
      <c r="O80" s="251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1:51" s="33" customFormat="1" ht="13.8" hidden="1">
      <c r="A81" s="137"/>
      <c r="B81" s="137"/>
      <c r="C81" s="137"/>
      <c r="D81" s="137"/>
      <c r="E81" s="137"/>
      <c r="F81" s="137"/>
      <c r="G81" s="137"/>
      <c r="H81" s="43"/>
      <c r="I81" s="43"/>
      <c r="J81" s="43"/>
      <c r="K81" s="43"/>
      <c r="L81" s="43"/>
      <c r="M81" s="43"/>
      <c r="N81" s="43"/>
      <c r="O81" s="251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  <row r="82" spans="1:51" s="33" customFormat="1" ht="13.8" hidden="1">
      <c r="A82" s="339" t="s">
        <v>34</v>
      </c>
      <c r="B82" s="340"/>
      <c r="C82" s="340"/>
      <c r="D82" s="340"/>
      <c r="E82" s="340"/>
      <c r="F82" s="341"/>
      <c r="G82" s="137"/>
      <c r="H82" s="43"/>
      <c r="I82" s="43"/>
      <c r="J82" s="43"/>
      <c r="K82" s="43"/>
      <c r="L82" s="43"/>
      <c r="M82" s="43"/>
      <c r="N82" s="43"/>
      <c r="O82" s="251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</row>
    <row r="83" spans="1:51" s="33" customFormat="1" ht="13.8" hidden="1">
      <c r="A83" s="138" t="s">
        <v>38</v>
      </c>
      <c r="B83" s="337" t="s">
        <v>27</v>
      </c>
      <c r="C83" s="338"/>
      <c r="D83" s="337" t="s">
        <v>39</v>
      </c>
      <c r="E83" s="338"/>
      <c r="F83" s="139" t="s">
        <v>24</v>
      </c>
      <c r="G83" s="137"/>
      <c r="H83" s="43"/>
      <c r="I83" s="43"/>
      <c r="J83" s="43"/>
      <c r="K83" s="43"/>
      <c r="L83" s="43"/>
      <c r="M83" s="43"/>
      <c r="N83" s="43"/>
      <c r="O83" s="251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</row>
    <row r="84" spans="1:51" s="33" customFormat="1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  <c r="O84" s="251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</row>
    <row r="85" spans="1:51" s="33" customFormat="1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  <c r="O85" s="251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</row>
    <row r="86" spans="1:51" s="33" customFormat="1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  <c r="O86" s="251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</row>
    <row r="87" spans="1:51" s="33" customFormat="1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  <c r="O87" s="251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</row>
    <row r="88" spans="1:51" s="33" customFormat="1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  <c r="O88" s="251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</row>
    <row r="89" spans="1:51" s="33" customFormat="1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  <c r="O89" s="251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</row>
    <row r="90" spans="1:51" s="33" customFormat="1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  <c r="O90" s="251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</row>
    <row r="91" spans="1:51" s="33" customFormat="1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  <c r="O91" s="251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</row>
    <row r="92" spans="1:51" s="33" customFormat="1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  <c r="O92" s="251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</row>
    <row r="93" spans="1:51" s="33" customFormat="1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  <c r="O93" s="251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</row>
    <row r="94" spans="1:51" s="33" customFormat="1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  <c r="O94" s="251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s="33" customFormat="1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  <c r="O95" s="251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</row>
    <row r="96" spans="1:51" s="33" customFormat="1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  <c r="O96" s="251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</row>
    <row r="97" spans="1:51" s="33" customFormat="1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  <c r="O97" s="251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</row>
    <row r="98" spans="1:51" s="33" customFormat="1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  <c r="O98" s="251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</row>
    <row r="99" spans="1:51" s="33" customFormat="1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  <c r="O99" s="251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</row>
    <row r="100" spans="1:51" s="33" customFormat="1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  <c r="O100" s="251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</row>
    <row r="101" spans="1:51" s="33" customFormat="1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  <c r="O101" s="251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</row>
    <row r="102" spans="1:51" s="33" customFormat="1" ht="13.8" hidden="1">
      <c r="A102" s="148"/>
      <c r="B102" s="137"/>
      <c r="C102" s="137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  <c r="O102" s="251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</row>
    <row r="103" spans="1:51" s="33" customFormat="1" ht="13.8" hidden="1">
      <c r="A103" s="148"/>
      <c r="B103" s="137"/>
      <c r="C103" s="137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  <c r="O103" s="251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</row>
    <row r="104" spans="1:51" s="33" customFormat="1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  <c r="O104" s="251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</row>
    <row r="105" spans="1:51" s="33" customFormat="1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  <c r="O105" s="251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</row>
    <row r="106" spans="1:51" s="33" customFormat="1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  <c r="O106" s="251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</row>
    <row r="107" spans="1:51" s="33" customFormat="1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  <c r="O107" s="251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</row>
    <row r="108" spans="1:51" s="33" customFormat="1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  <c r="O108" s="251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</row>
    <row r="109" spans="1:51" s="33" customFormat="1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  <c r="O109" s="251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</row>
    <row r="110" spans="1:51" s="33" customFormat="1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  <c r="O110" s="251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</row>
    <row r="111" spans="1:51" s="33" customFormat="1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  <c r="O111" s="251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</row>
    <row r="112" spans="1:51" s="33" customFormat="1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  <c r="O112" s="251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s="33" customFormat="1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  <c r="O113" s="251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</row>
    <row r="114" spans="1:51" s="33" customFormat="1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  <c r="O114" s="251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</row>
    <row r="115" spans="1:51" s="33" customFormat="1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  <c r="O115" s="251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</row>
    <row r="116" spans="1:51" s="33" customFormat="1" ht="13.8" hidden="1">
      <c r="A116" s="137"/>
      <c r="B116" s="137"/>
      <c r="C116" s="137"/>
      <c r="D116" s="137"/>
      <c r="E116" s="137"/>
      <c r="F116" s="137"/>
      <c r="G116" s="137"/>
      <c r="H116" s="43"/>
      <c r="I116" s="43"/>
      <c r="J116" s="43"/>
      <c r="K116" s="43"/>
      <c r="L116" s="43"/>
      <c r="M116" s="43"/>
      <c r="N116" s="43"/>
      <c r="O116" s="251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</row>
    <row r="117" spans="1:51" s="33" customFormat="1" ht="13.8" hidden="1">
      <c r="A117" s="137"/>
      <c r="B117" s="137"/>
      <c r="C117" s="137"/>
      <c r="D117" s="137"/>
      <c r="E117" s="137"/>
      <c r="F117" s="137"/>
      <c r="G117" s="137"/>
      <c r="H117" s="43"/>
      <c r="I117" s="43"/>
      <c r="J117" s="43"/>
      <c r="K117" s="43"/>
      <c r="L117" s="43"/>
      <c r="M117" s="43"/>
      <c r="N117" s="43"/>
      <c r="O117" s="251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</row>
    <row r="118" spans="1:51" s="33" customFormat="1" ht="13.8" hidden="1">
      <c r="A118" s="137"/>
      <c r="B118" s="137"/>
      <c r="C118" s="137"/>
      <c r="D118" s="137"/>
      <c r="E118" s="137"/>
      <c r="F118" s="137"/>
      <c r="G118" s="137"/>
      <c r="H118" s="43"/>
      <c r="I118" s="43"/>
      <c r="J118" s="43"/>
      <c r="K118" s="43"/>
      <c r="L118" s="43"/>
      <c r="M118" s="43"/>
      <c r="N118" s="43"/>
      <c r="O118" s="251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</row>
    <row r="119" spans="1:51" s="33" customFormat="1" ht="13.8" hidden="1">
      <c r="A119" s="137"/>
      <c r="B119" s="137"/>
      <c r="C119" s="137"/>
      <c r="D119" s="137"/>
      <c r="E119" s="137"/>
      <c r="F119" s="137"/>
      <c r="G119" s="137"/>
      <c r="H119" s="43"/>
      <c r="I119" s="43"/>
      <c r="J119" s="43"/>
      <c r="K119" s="43"/>
      <c r="L119" s="43"/>
      <c r="M119" s="43"/>
      <c r="N119" s="43"/>
      <c r="O119" s="251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</row>
    <row r="120" spans="1:51" s="33" customFormat="1" ht="13.8" hidden="1">
      <c r="A120" s="137"/>
      <c r="B120" s="137"/>
      <c r="C120" s="137"/>
      <c r="D120" s="137"/>
      <c r="E120" s="137"/>
      <c r="F120" s="137"/>
      <c r="G120" s="137"/>
      <c r="H120" s="43"/>
      <c r="I120" s="43"/>
      <c r="J120" s="43"/>
      <c r="K120" s="43"/>
      <c r="L120" s="43"/>
      <c r="M120" s="43"/>
      <c r="N120" s="43"/>
      <c r="O120" s="251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</row>
    <row r="121" spans="1:51" s="33" customFormat="1" ht="13.8" hidden="1">
      <c r="A121" s="137"/>
      <c r="B121" s="137"/>
      <c r="C121" s="137"/>
      <c r="D121" s="137"/>
      <c r="E121" s="137"/>
      <c r="F121" s="137"/>
      <c r="G121" s="137"/>
      <c r="H121" s="43"/>
      <c r="I121" s="43"/>
      <c r="J121" s="43"/>
      <c r="K121" s="43"/>
      <c r="L121" s="43"/>
      <c r="M121" s="43"/>
      <c r="N121" s="43"/>
      <c r="O121" s="251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</row>
    <row r="122" spans="1:51" s="33" customFormat="1" ht="13.8" hidden="1">
      <c r="A122" s="339" t="s">
        <v>56</v>
      </c>
      <c r="B122" s="340"/>
      <c r="C122" s="340"/>
      <c r="D122" s="340"/>
      <c r="E122" s="340"/>
      <c r="F122" s="341"/>
      <c r="G122" s="137"/>
      <c r="H122" s="43"/>
      <c r="I122" s="43"/>
      <c r="J122" s="43"/>
      <c r="K122" s="43"/>
      <c r="L122" s="43"/>
      <c r="M122" s="43"/>
      <c r="N122" s="43"/>
      <c r="O122" s="251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</row>
    <row r="123" spans="1:51" s="33" customFormat="1" ht="13.8" hidden="1">
      <c r="A123" s="138" t="s">
        <v>38</v>
      </c>
      <c r="B123" s="337" t="s">
        <v>27</v>
      </c>
      <c r="C123" s="338"/>
      <c r="D123" s="337" t="s">
        <v>39</v>
      </c>
      <c r="E123" s="338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  <c r="O123" s="251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</row>
    <row r="124" spans="1:51" s="33" customFormat="1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  <c r="O124" s="251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</row>
    <row r="125" spans="1:51" s="33" customFormat="1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  <c r="O125" s="251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</row>
    <row r="126" spans="1:51" s="33" customFormat="1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  <c r="O126" s="251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</row>
    <row r="127" spans="1:51" s="33" customFormat="1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  <c r="O127" s="251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</row>
    <row r="128" spans="1:51" s="33" customFormat="1" ht="13.8" hidden="1">
      <c r="A128" s="146" t="s">
        <v>44</v>
      </c>
      <c r="B128" s="147"/>
      <c r="C128" s="147">
        <f ca="1">K207/100*C207</f>
        <v>32064.028979218347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  <c r="O128" s="251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</row>
    <row r="129" spans="1:51" s="33" customFormat="1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  <c r="O129" s="251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</row>
    <row r="130" spans="1:51" s="33" customFormat="1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  <c r="O130" s="251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s="33" customFormat="1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  <c r="O131" s="251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</row>
    <row r="132" spans="1:51" s="33" customFormat="1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  <c r="O132" s="251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</row>
    <row r="133" spans="1:51" s="33" customFormat="1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  <c r="O133" s="251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</row>
    <row r="134" spans="1:51" s="33" customFormat="1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  <c r="O134" s="251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</row>
    <row r="135" spans="1:51" s="33" customFormat="1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  <c r="O135" s="251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s="33" customFormat="1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  <c r="O136" s="251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s="33" customFormat="1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  <c r="O137" s="251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s="33" customFormat="1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  <c r="O138" s="251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s="33" customFormat="1" ht="13.8" hidden="1">
      <c r="A139" s="146" t="s">
        <v>53</v>
      </c>
      <c r="B139" s="147">
        <f>I207/100*B99</f>
        <v>-323160.62778999994</v>
      </c>
      <c r="C139" s="147"/>
      <c r="D139" s="147">
        <f>I207/100*D99</f>
        <v>-302062.35237022408</v>
      </c>
      <c r="E139" s="147"/>
      <c r="F139" s="147">
        <f>B139-D139</f>
        <v>-21098.275419775862</v>
      </c>
      <c r="G139" s="137"/>
      <c r="H139" s="43"/>
      <c r="I139" s="43"/>
      <c r="J139" s="43"/>
      <c r="K139" s="43"/>
      <c r="L139" s="43"/>
      <c r="M139" s="43"/>
      <c r="N139" s="43"/>
      <c r="O139" s="251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s="33" customFormat="1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  <c r="O140" s="251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s="33" customFormat="1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  <c r="O141" s="251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s="33" customFormat="1" ht="13.8" hidden="1">
      <c r="A142" s="148"/>
      <c r="B142" s="137"/>
      <c r="C142" s="137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  <c r="O142" s="251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s="33" customFormat="1" ht="13.8" hidden="1">
      <c r="A143" s="148"/>
      <c r="B143" s="137"/>
      <c r="C143" s="137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  <c r="O143" s="251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s="33" customFormat="1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  <c r="O144" s="251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1:51" s="33" customFormat="1" ht="13.8" hidden="1">
      <c r="A145" s="148"/>
      <c r="B145" s="149" t="s">
        <v>57</v>
      </c>
      <c r="C145" s="149">
        <f>D139</f>
        <v>-302062.35237022408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  <c r="O145" s="251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1:51" s="33" customFormat="1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  <c r="O146" s="251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1:51" s="33" customFormat="1" ht="13.8" hidden="1">
      <c r="A147" s="148"/>
      <c r="B147" s="149" t="s">
        <v>59</v>
      </c>
      <c r="C147" s="149">
        <f>B139</f>
        <v>-323160.62778999994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  <c r="O147" s="251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1:51" s="33" customFormat="1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  <c r="O148" s="251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s="33" customFormat="1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  <c r="O149" s="251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1:51" s="33" customFormat="1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  <c r="O150" s="251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1:51" s="33" customFormat="1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  <c r="O151" s="251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1:51" s="33" customFormat="1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  <c r="O152" s="251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1:51" s="33" customFormat="1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  <c r="O153" s="251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1:51" s="33" customFormat="1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  <c r="O154" s="251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1:51" s="33" customFormat="1" ht="13.8" hidden="1">
      <c r="A155" s="137"/>
      <c r="B155" s="137"/>
      <c r="C155" s="137"/>
      <c r="D155" s="137"/>
      <c r="E155" s="137"/>
      <c r="F155" s="137"/>
      <c r="G155" s="137"/>
      <c r="H155" s="43"/>
      <c r="I155" s="43"/>
      <c r="J155" s="43"/>
      <c r="K155" s="43"/>
      <c r="L155" s="43"/>
      <c r="M155" s="43"/>
      <c r="N155" s="43"/>
      <c r="O155" s="251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1:51" s="33" customFormat="1" ht="13.8" hidden="1">
      <c r="A156" s="137"/>
      <c r="B156" s="137"/>
      <c r="C156" s="137"/>
      <c r="D156" s="137"/>
      <c r="E156" s="137"/>
      <c r="F156" s="137"/>
      <c r="G156" s="137"/>
      <c r="H156" s="43"/>
      <c r="I156" s="43"/>
      <c r="J156" s="43"/>
      <c r="K156" s="43"/>
      <c r="L156" s="43"/>
      <c r="M156" s="43"/>
      <c r="N156" s="43"/>
      <c r="O156" s="251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1:51" s="33" customFormat="1" ht="19.5" hidden="1" customHeight="1">
      <c r="A157" s="137"/>
      <c r="B157" s="137"/>
      <c r="C157" s="137"/>
      <c r="D157" s="137"/>
      <c r="E157" s="137"/>
      <c r="F157" s="137"/>
      <c r="G157" s="137"/>
      <c r="H157" s="43"/>
      <c r="I157" s="43"/>
      <c r="J157" s="43"/>
      <c r="K157" s="43"/>
      <c r="L157" s="43"/>
      <c r="M157" s="43"/>
      <c r="N157" s="43"/>
      <c r="O157" s="251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1:51" s="33" customFormat="1" ht="13.8" hidden="1">
      <c r="A158" s="137"/>
      <c r="B158" s="137"/>
      <c r="C158" s="137"/>
      <c r="D158" s="137"/>
      <c r="E158" s="137"/>
      <c r="F158" s="137"/>
      <c r="G158" s="137"/>
      <c r="H158" s="43"/>
      <c r="I158" s="43"/>
      <c r="J158" s="43"/>
      <c r="K158" s="43"/>
      <c r="L158" s="43"/>
      <c r="M158" s="43"/>
      <c r="N158" s="43"/>
      <c r="O158" s="251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1:51" s="33" customFormat="1" ht="11.25" hidden="1" customHeight="1">
      <c r="A159" s="137"/>
      <c r="B159" s="137"/>
      <c r="C159" s="137"/>
      <c r="D159" s="137"/>
      <c r="E159" s="137"/>
      <c r="F159" s="137"/>
      <c r="G159" s="137"/>
      <c r="H159" s="43"/>
      <c r="I159" s="43"/>
      <c r="J159" s="43"/>
      <c r="K159" s="43"/>
      <c r="L159" s="43"/>
      <c r="M159" s="43"/>
      <c r="N159" s="43"/>
      <c r="O159" s="251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1:51" s="33" customFormat="1" ht="13.5" hidden="1" customHeight="1">
      <c r="A160" s="137"/>
      <c r="B160" s="137"/>
      <c r="C160" s="137"/>
      <c r="D160" s="137"/>
      <c r="E160" s="137"/>
      <c r="F160" s="137"/>
      <c r="G160" s="137"/>
      <c r="H160" s="43"/>
      <c r="I160" s="43"/>
      <c r="J160" s="43"/>
      <c r="K160" s="43"/>
      <c r="L160" s="43"/>
      <c r="M160" s="43"/>
      <c r="N160" s="43"/>
      <c r="O160" s="251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1:51" s="33" customFormat="1" ht="15.75" hidden="1" customHeight="1">
      <c r="A161" s="137"/>
      <c r="B161" s="137"/>
      <c r="C161" s="137"/>
      <c r="D161" s="137"/>
      <c r="E161" s="137"/>
      <c r="F161" s="137"/>
      <c r="G161" s="137"/>
      <c r="H161" s="43"/>
      <c r="I161" s="43"/>
      <c r="J161" s="43"/>
      <c r="K161" s="43"/>
      <c r="L161" s="43"/>
      <c r="M161" s="43"/>
      <c r="N161" s="43"/>
      <c r="O161" s="251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1:51" s="33" customFormat="1" ht="13.5" customHeight="1">
      <c r="A162" s="137"/>
      <c r="B162" s="137"/>
      <c r="C162" s="137"/>
      <c r="D162" s="137"/>
      <c r="E162" s="137"/>
      <c r="F162" s="137"/>
      <c r="G162" s="137"/>
      <c r="H162" s="43"/>
      <c r="I162" s="43"/>
      <c r="J162" s="43"/>
      <c r="K162" s="43"/>
      <c r="L162" s="43"/>
      <c r="M162" s="43"/>
      <c r="N162" s="43"/>
      <c r="O162" s="251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1:51" s="33" customFormat="1" ht="13.8">
      <c r="A163" s="339" t="s">
        <v>70</v>
      </c>
      <c r="B163" s="340"/>
      <c r="C163" s="340"/>
      <c r="D163" s="340"/>
      <c r="E163" s="340"/>
      <c r="F163" s="341"/>
      <c r="G163" s="137"/>
      <c r="H163" s="43"/>
      <c r="I163" s="43"/>
      <c r="J163" s="43"/>
      <c r="K163" s="43"/>
      <c r="L163" s="43"/>
      <c r="M163" s="43"/>
      <c r="N163" s="43"/>
      <c r="O163" s="251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1:51" s="33" customFormat="1" ht="13.8">
      <c r="A164" s="138" t="s">
        <v>38</v>
      </c>
      <c r="B164" s="337" t="s">
        <v>27</v>
      </c>
      <c r="C164" s="338"/>
      <c r="D164" s="337" t="s">
        <v>68</v>
      </c>
      <c r="E164" s="338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  <c r="O164" s="251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1:51" s="33" customFormat="1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  <c r="O165" s="251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1:51" s="33" customFormat="1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  <c r="O166" s="251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s="33" customFormat="1" ht="13.8">
      <c r="A167" s="144"/>
      <c r="B167" s="138">
        <v>2024</v>
      </c>
      <c r="C167" s="138">
        <v>2025</v>
      </c>
      <c r="D167" s="138" t="s">
        <v>236</v>
      </c>
      <c r="E167" s="138" t="s">
        <v>237</v>
      </c>
      <c r="F167" s="183"/>
      <c r="G167" s="137"/>
      <c r="H167" s="43"/>
      <c r="I167" s="43"/>
      <c r="J167" s="43"/>
      <c r="K167" s="43"/>
      <c r="L167" s="43"/>
      <c r="M167" s="43"/>
      <c r="N167" s="43"/>
      <c r="O167" s="251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  <row r="168" spans="1:51" s="33" customFormat="1" ht="13.8">
      <c r="A168" s="146" t="s">
        <v>203</v>
      </c>
      <c r="B168" s="150">
        <f ca="1">IF(INDIRECT(ADDRESS(ROW('1'!AK$11),COLUMN('1'!AA10)+ROW(A2)+52,1,1,"1"))="","",INDIRECT(ADDRESS(ROW('1'!AK$11),COLUMN('1'!AA10)+ROW(A1)+52,1,1,"1")))</f>
        <v>253732.15099999984</v>
      </c>
      <c r="C168" s="151">
        <f ca="1">IF(INDIRECT(ADDRESS(ROW('1'!AK$11),COLUMN('1'!AA10)+ROW(A2)+65,1,1,"1"))="","",INDIRECT(ADDRESS(ROW('1'!AK$11),COLUMN('1'!AA10)+ROW(A1)+65,1,1,"1")))</f>
        <v>37266.269999999786</v>
      </c>
      <c r="D168" s="151">
        <f>'1'!$CN$11*ROW(A1)/12</f>
        <v>-148498.11121671865</v>
      </c>
      <c r="E168" s="151">
        <f>'1'!$CS$11*ROW(A1)/12</f>
        <v>-165323.69462223258</v>
      </c>
      <c r="F168" s="150">
        <f ca="1">IFERROR(C168-E168,"")</f>
        <v>202589.96462223236</v>
      </c>
      <c r="G168" s="137"/>
      <c r="H168" s="43"/>
      <c r="I168" s="43"/>
      <c r="J168" s="43"/>
      <c r="K168" s="43"/>
      <c r="L168" s="43"/>
      <c r="M168" s="43"/>
      <c r="N168" s="43"/>
      <c r="O168" s="251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</row>
    <row r="169" spans="1:51" s="33" customFormat="1" ht="13.8">
      <c r="A169" s="146" t="s">
        <v>204</v>
      </c>
      <c r="B169" s="150">
        <f ca="1">IF(INDIRECT(ADDRESS(ROW('1'!AK$11),COLUMN('1'!AA11)+ROW(A3)+52,1,1,"1"))="","",INDIRECT(ADDRESS(ROW('1'!AK$11),COLUMN('1'!AA11)+ROW(A2)+52,1,1,"1")))</f>
        <v>180870.99599999981</v>
      </c>
      <c r="C169" s="151">
        <f ca="1">IF(INDIRECT(ADDRESS(ROW('1'!AK$11),COLUMN('1'!AA11)+ROW(A3)+65,1,1,"1"))="","",INDIRECT(ADDRESS(ROW('1'!AK$11),COLUMN('1'!AA11)+ROW(A2)+65,1,1,"1")))</f>
        <v>-68091.927000000607</v>
      </c>
      <c r="D169" s="151">
        <f>'1'!$CN$11*ROW(A2)/12</f>
        <v>-296996.2224334373</v>
      </c>
      <c r="E169" s="151">
        <f>'1'!$CS$11*ROW(A2)/12</f>
        <v>-330647.38924446516</v>
      </c>
      <c r="F169" s="150">
        <f t="shared" ref="F169:F179" ca="1" si="0">IFERROR(C169-E169,"")</f>
        <v>262555.46224446455</v>
      </c>
      <c r="G169" s="184"/>
      <c r="H169" s="43"/>
      <c r="I169" s="43"/>
      <c r="J169" s="43"/>
      <c r="K169" s="43"/>
      <c r="L169" s="43"/>
      <c r="M169" s="43"/>
      <c r="N169" s="43"/>
      <c r="O169" s="251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</row>
    <row r="170" spans="1:51" s="33" customFormat="1" ht="13.8">
      <c r="A170" s="146" t="s">
        <v>205</v>
      </c>
      <c r="B170" s="150">
        <f ca="1">IF(INDIRECT(ADDRESS(ROW('1'!AK$11),COLUMN('1'!AA12)+ROW(A4)+52,1,1,"1"))="","",INDIRECT(ADDRESS(ROW('1'!AK$11),COLUMN('1'!AA12)+ROW(A3)+52,1,1,"1")))</f>
        <v>41575.773999999743</v>
      </c>
      <c r="C170" s="151">
        <f ca="1">IF(INDIRECT(ADDRESS(ROW('1'!AK$11),COLUMN('1'!AA12)+ROW(A4)+65,1,1,"1"))="","",INDIRECT(ADDRESS(ROW('1'!AK$11),COLUMN('1'!AA12)+ROW(A3)+65,1,1,"1")))</f>
        <v>-521193.81899999967</v>
      </c>
      <c r="D170" s="151">
        <f>'1'!$CN$11*ROW(A3)/12</f>
        <v>-445494.33365015592</v>
      </c>
      <c r="E170" s="151">
        <f>'1'!$CS$11*ROW(A3)/12</f>
        <v>-495971.08386669774</v>
      </c>
      <c r="F170" s="150">
        <f t="shared" ca="1" si="0"/>
        <v>-25222.735133301932</v>
      </c>
      <c r="G170" s="184"/>
      <c r="H170" s="43"/>
      <c r="I170" s="43"/>
      <c r="J170" s="43"/>
      <c r="K170" s="43"/>
      <c r="L170" s="43"/>
      <c r="M170" s="43"/>
      <c r="N170" s="43"/>
      <c r="O170" s="251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</row>
    <row r="171" spans="1:51" s="33" customFormat="1" ht="13.8">
      <c r="A171" s="146" t="s">
        <v>206</v>
      </c>
      <c r="B171" s="150">
        <f ca="1">IF(INDIRECT(ADDRESS(ROW('1'!AK$11),COLUMN('1'!AA13)+ROW(A5)+52,1,1,"1"))="","",INDIRECT(ADDRESS(ROW('1'!AK$11),COLUMN('1'!AA13)+ROW(A4)+52,1,1,"1")))</f>
        <v>-96080.123999999836</v>
      </c>
      <c r="C171" s="151">
        <f ca="1">IF(INDIRECT(ADDRESS(ROW('1'!AK$11),COLUMN('1'!AA13)+ROW(A5)+65,1,1,"1"))="","",INDIRECT(ADDRESS(ROW('1'!AK$11),COLUMN('1'!AA13)+ROW(A4)+65,1,1,"1")))</f>
        <v>-777461.0130000012</v>
      </c>
      <c r="D171" s="151">
        <f>'1'!$CN$11*ROW(A4)/12</f>
        <v>-593992.4448668746</v>
      </c>
      <c r="E171" s="151">
        <f>'1'!$CS$11*ROW(A4)/12</f>
        <v>-661294.77848893031</v>
      </c>
      <c r="F171" s="150">
        <f t="shared" ca="1" si="0"/>
        <v>-116166.23451107088</v>
      </c>
      <c r="G171" s="137"/>
      <c r="H171" s="43"/>
      <c r="I171" s="43"/>
      <c r="J171" s="43"/>
      <c r="K171" s="43"/>
      <c r="L171" s="43"/>
      <c r="M171" s="43"/>
      <c r="N171" s="43"/>
      <c r="O171" s="251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</row>
    <row r="172" spans="1:51" s="33" customFormat="1" ht="13.8">
      <c r="A172" s="146" t="s">
        <v>207</v>
      </c>
      <c r="B172" s="150">
        <f ca="1">IF(INDIRECT(ADDRESS(ROW('1'!AK$11),COLUMN('1'!AA14)+ROW(A6)+52,1,1,"1"))="","",INDIRECT(ADDRESS(ROW('1'!AK$11),COLUMN('1'!AA14)+ROW(A5)+52,1,1,"1")))</f>
        <v>253236.02000000048</v>
      </c>
      <c r="C172" s="151" t="str">
        <f ca="1">IF(INDIRECT(ADDRESS(ROW('1'!AK$11),COLUMN('1'!AA14)+ROW(A6)+65,1,1,"1"))="","",INDIRECT(ADDRESS(ROW('1'!AK$11),COLUMN('1'!AA14)+ROW(A5)+65,1,1,"1")))</f>
        <v/>
      </c>
      <c r="D172" s="151">
        <f>'1'!$CN$11*ROW(A5)/12</f>
        <v>-742490.55608359317</v>
      </c>
      <c r="E172" s="151">
        <f>'1'!$CS$11*ROW(A5)/12</f>
        <v>-826618.47311116289</v>
      </c>
      <c r="F172" s="150" t="str">
        <f t="shared" ca="1" si="0"/>
        <v/>
      </c>
      <c r="G172" s="178"/>
      <c r="H172" s="43"/>
      <c r="I172" s="43"/>
      <c r="J172" s="43"/>
      <c r="K172" s="43"/>
      <c r="L172" s="43"/>
      <c r="M172" s="43"/>
      <c r="N172" s="43"/>
      <c r="O172" s="251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</row>
    <row r="173" spans="1:51" s="33" customFormat="1" ht="13.8">
      <c r="A173" s="146" t="s">
        <v>208</v>
      </c>
      <c r="B173" s="150">
        <f ca="1">IF(INDIRECT(ADDRESS(ROW('1'!AK$11),COLUMN('1'!AA15)+ROW(A7)+52,1,1,"1"))="","",INDIRECT(ADDRESS(ROW('1'!AK$11),COLUMN('1'!AA15)+ROW(A6)+52,1,1,"1")))</f>
        <v>604002.0150000006</v>
      </c>
      <c r="C173" s="151" t="str">
        <f ca="1">IF(INDIRECT(ADDRESS(ROW('1'!AK$11),COLUMN('1'!AA15)+ROW(A7)+65,1,1,"1"))="","",INDIRECT(ADDRESS(ROW('1'!AK$11),COLUMN('1'!AA15)+ROW(A6)+65,1,1,"1")))</f>
        <v/>
      </c>
      <c r="D173" s="151">
        <f>'1'!$CN$11*ROW(A6)/12</f>
        <v>-890988.66730031185</v>
      </c>
      <c r="E173" s="151">
        <f>'1'!$CS$11*ROW(A6)/12</f>
        <v>-991942.16773339547</v>
      </c>
      <c r="F173" s="150" t="str">
        <f t="shared" ca="1" si="0"/>
        <v/>
      </c>
      <c r="G173" s="179"/>
      <c r="H173" s="43"/>
      <c r="I173" s="43"/>
      <c r="J173" s="43"/>
      <c r="K173" s="43"/>
      <c r="L173" s="43"/>
      <c r="M173" s="43"/>
      <c r="N173" s="43"/>
      <c r="O173" s="251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</row>
    <row r="174" spans="1:51" s="33" customFormat="1" ht="13.8">
      <c r="A174" s="146" t="s">
        <v>209</v>
      </c>
      <c r="B174" s="150">
        <f ca="1">IF(INDIRECT(ADDRESS(ROW('1'!AK$11),COLUMN('1'!AA16)+ROW(A8)+52,1,1,"1"))="","",INDIRECT(ADDRESS(ROW('1'!AK$11),COLUMN('1'!AA16)+ROW(A7)+52,1,1,"1")))</f>
        <v>590004.91999999993</v>
      </c>
      <c r="C174" s="151" t="str">
        <f ca="1">IF(INDIRECT(ADDRESS(ROW('1'!AK$11),COLUMN('1'!AA16)+ROW(A8)+65,1,1,"1"))="","",INDIRECT(ADDRESS(ROW('1'!AK$11),COLUMN('1'!AA16)+ROW(A7)+65,1,1,"1")))</f>
        <v/>
      </c>
      <c r="D174" s="151">
        <f>'1'!$CN$11*ROW(A7)/12</f>
        <v>-1039486.7785170305</v>
      </c>
      <c r="E174" s="151">
        <f>'1'!$CS$11*ROW(A7)/12</f>
        <v>-1157265.8623556281</v>
      </c>
      <c r="F174" s="150" t="str">
        <f t="shared" ca="1" si="0"/>
        <v/>
      </c>
      <c r="G174" s="179"/>
      <c r="H174" s="43"/>
      <c r="I174" s="43"/>
      <c r="J174" s="43"/>
      <c r="K174" s="43"/>
      <c r="L174" s="43"/>
      <c r="M174" s="43"/>
      <c r="N174" s="43"/>
      <c r="O174" s="251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</row>
    <row r="175" spans="1:51" s="33" customFormat="1" ht="13.8">
      <c r="A175" s="146" t="s">
        <v>210</v>
      </c>
      <c r="B175" s="150">
        <f ca="1">IF(INDIRECT(ADDRESS(ROW('1'!AK$11),COLUMN('1'!AA17)+ROW(A9)+52,1,1,"1"))="","",INDIRECT(ADDRESS(ROW('1'!AK$11),COLUMN('1'!AA17)+ROW(A8)+52,1,1,"1")))</f>
        <v>650076.53099999763</v>
      </c>
      <c r="C175" s="151" t="str">
        <f ca="1">IF(INDIRECT(ADDRESS(ROW('1'!AK$11),COLUMN('1'!AA17)+ROW(A9)+65,1,1,"1"))="","",INDIRECT(ADDRESS(ROW('1'!AK$11),COLUMN('1'!AA17)+ROW(A8)+65,1,1,"1")))</f>
        <v/>
      </c>
      <c r="D175" s="151">
        <f>'1'!$CN$11*ROW(A8)/12</f>
        <v>-1187984.8897337492</v>
      </c>
      <c r="E175" s="151">
        <f>'1'!$CS$11*ROW(A8)/12</f>
        <v>-1322589.5569778606</v>
      </c>
      <c r="F175" s="150" t="str">
        <f t="shared" ca="1" si="0"/>
        <v/>
      </c>
      <c r="G175" s="137"/>
      <c r="H175" s="43"/>
      <c r="I175" s="43"/>
      <c r="J175" s="43"/>
      <c r="K175" s="43"/>
      <c r="L175" s="43"/>
      <c r="M175" s="43"/>
      <c r="N175" s="43"/>
      <c r="O175" s="251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</row>
    <row r="176" spans="1:51" s="33" customFormat="1" ht="13.8">
      <c r="A176" s="146" t="s">
        <v>211</v>
      </c>
      <c r="B176" s="150">
        <f ca="1">IF(INDIRECT(ADDRESS(ROW('1'!AK$11),COLUMN('1'!AA18)+ROW(A10)+52,1,1,"1"))="","",INDIRECT(ADDRESS(ROW('1'!AK$11),COLUMN('1'!AA18)+ROW(A9)+52,1,1,"1")))</f>
        <v>607082.16899999976</v>
      </c>
      <c r="C176" s="151" t="str">
        <f ca="1">IF(INDIRECT(ADDRESS(ROW('1'!AK$11),COLUMN('1'!AA18)+ROW(A10)+65,1,1,"1"))="","",INDIRECT(ADDRESS(ROW('1'!AK$11),COLUMN('1'!AA18)+ROW(A9)+65,1,1,"1")))</f>
        <v/>
      </c>
      <c r="D176" s="151">
        <f>'1'!$CN$11*ROW(A9)/12</f>
        <v>-1336483.0009504678</v>
      </c>
      <c r="E176" s="151">
        <f>'1'!$CS$11*ROW(A9)/12</f>
        <v>-1487913.2516000932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  <c r="O176" s="251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</row>
    <row r="177" spans="1:51" s="33" customFormat="1" ht="13.8">
      <c r="A177" s="146" t="s">
        <v>212</v>
      </c>
      <c r="B177" s="150">
        <f ca="1">IF(INDIRECT(ADDRESS(ROW('1'!AK$11),COLUMN('1'!AA19)+ROW(A11)+52,1,1,"1"))="","",INDIRECT(ADDRESS(ROW('1'!AK$11),COLUMN('1'!AA19)+ROW(A10)+52,1,1,"1")))</f>
        <v>311647.17399999686</v>
      </c>
      <c r="C177" s="151" t="str">
        <f ca="1">IF(INDIRECT(ADDRESS(ROW('1'!AK$11),COLUMN('1'!AA19)+ROW(A11)+65,1,1,"1"))="","",INDIRECT(ADDRESS(ROW('1'!AK$11),COLUMN('1'!AA19)+ROW(A10)+65,1,1,"1")))</f>
        <v/>
      </c>
      <c r="D177" s="151">
        <f>'1'!$CN$11*ROW(A10)/12</f>
        <v>-1484981.1121671863</v>
      </c>
      <c r="E177" s="151">
        <f>'1'!$CS$11*ROW(A10)/12</f>
        <v>-1653236.9462223258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  <c r="O177" s="251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</row>
    <row r="178" spans="1:51" s="33" customFormat="1" ht="13.8">
      <c r="A178" s="146" t="s">
        <v>213</v>
      </c>
      <c r="B178" s="150">
        <f ca="1">IF(INDIRECT(ADDRESS(ROW('1'!AK$11),COLUMN('1'!AA20)+ROW(A12)+52,1,1,"1"))="","",INDIRECT(ADDRESS(ROW('1'!AK$11),COLUMN('1'!AA20)+ROW(A11)+52,1,1,"1")))</f>
        <v>69491.743999997154</v>
      </c>
      <c r="C178" s="151" t="str">
        <f ca="1">IF(INDIRECT(ADDRESS(ROW('1'!AK$11),COLUMN('1'!AA20)+ROW(A12)+65,1,1,"1"))="","",INDIRECT(ADDRESS(ROW('1'!AK$11),COLUMN('1'!AA20)+ROW(A11)+65,1,1,"1")))</f>
        <v/>
      </c>
      <c r="D178" s="151">
        <f>'1'!$CN$11*ROW(A11)/12</f>
        <v>-1633479.2233839051</v>
      </c>
      <c r="E178" s="151">
        <f>'1'!$CS$11*ROW(A11)/12</f>
        <v>-1818560.6408445584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  <c r="O178" s="251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</row>
    <row r="179" spans="1:51" s="33" customFormat="1" ht="13.8">
      <c r="A179" s="146" t="s">
        <v>214</v>
      </c>
      <c r="B179" s="150">
        <f ca="1">IF(INDIRECT(ADDRESS(ROW('1'!AK$11),COLUMN('1'!AA21)+ROW(A13)+52,1,1,"1"))="","",INDIRECT(ADDRESS(ROW('1'!AK$11),COLUMN('1'!AA21)+ROW(A12)+52,1,1,"1")))</f>
        <v>-733124.83000000566</v>
      </c>
      <c r="C179" s="151" t="str">
        <f ca="1">IF(INDIRECT(ADDRESS(ROW('1'!AK$11),COLUMN('1'!AA21)+ROW(A13)+65,1,1,"1"))="","",INDIRECT(ADDRESS(ROW('1'!AK$11),COLUMN('1'!AA21)+ROW(A12)+65,1,1,"1")))</f>
        <v/>
      </c>
      <c r="D179" s="151">
        <f>'1'!$CN$11*ROW(A12)/12</f>
        <v>-1781977.3346006237</v>
      </c>
      <c r="E179" s="151">
        <f>'1'!$CS$11*ROW(A12)/12</f>
        <v>-1983884.3354667909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  <c r="O179" s="251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</row>
    <row r="180" spans="1:51" s="33" customFormat="1" ht="13.8">
      <c r="A180" s="137"/>
      <c r="B180" s="137"/>
      <c r="C180" s="137"/>
      <c r="D180" s="137"/>
      <c r="E180" s="137"/>
      <c r="F180" s="137"/>
      <c r="G180" s="137"/>
      <c r="H180" s="43"/>
      <c r="I180" s="43"/>
      <c r="J180" s="43"/>
      <c r="K180" s="43"/>
      <c r="L180" s="43"/>
      <c r="M180" s="43"/>
      <c r="N180" s="43"/>
      <c r="O180" s="251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</row>
    <row r="181" spans="1:51" s="33" customFormat="1" ht="13.8">
      <c r="A181" s="137"/>
      <c r="B181" s="137"/>
      <c r="C181" s="137"/>
      <c r="D181" s="137"/>
      <c r="E181" s="137"/>
      <c r="F181" s="137"/>
      <c r="G181" s="137"/>
      <c r="H181" s="43"/>
      <c r="I181" s="43"/>
      <c r="J181" s="43"/>
      <c r="K181" s="43"/>
      <c r="L181" s="43"/>
      <c r="M181" s="43"/>
      <c r="N181" s="43"/>
      <c r="O181" s="251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</row>
    <row r="182" spans="1:51" s="33" customFormat="1" ht="13.8">
      <c r="A182" s="137"/>
      <c r="B182" s="137"/>
      <c r="C182" s="137"/>
      <c r="D182" s="137"/>
      <c r="E182" s="137"/>
      <c r="F182" s="137"/>
      <c r="G182" s="137"/>
      <c r="H182" s="43"/>
      <c r="I182" s="43"/>
      <c r="J182" s="43"/>
      <c r="K182" s="43"/>
      <c r="L182" s="43"/>
      <c r="M182" s="43"/>
      <c r="N182" s="43"/>
      <c r="O182" s="251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</row>
    <row r="183" spans="1:51" s="33" customFormat="1" ht="13.8">
      <c r="A183" s="137"/>
      <c r="B183" s="137"/>
      <c r="C183" s="137"/>
      <c r="D183" s="137"/>
      <c r="E183" s="137"/>
      <c r="F183" s="137"/>
      <c r="G183" s="137"/>
      <c r="H183" s="43"/>
      <c r="I183" s="43"/>
      <c r="J183" s="43"/>
      <c r="K183" s="43"/>
      <c r="L183" s="43"/>
      <c r="M183" s="43"/>
      <c r="N183" s="43"/>
      <c r="O183" s="251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</row>
    <row r="184" spans="1:51" s="33" customFormat="1" ht="13.8">
      <c r="A184" s="137"/>
      <c r="B184" s="137"/>
      <c r="C184" s="137"/>
      <c r="D184" s="137"/>
      <c r="E184" s="137"/>
      <c r="F184" s="137"/>
      <c r="G184" s="137"/>
      <c r="H184" s="43"/>
      <c r="I184" s="43"/>
      <c r="J184" s="43"/>
      <c r="K184" s="43"/>
      <c r="L184" s="43"/>
      <c r="M184" s="43"/>
      <c r="N184" s="43"/>
      <c r="O184" s="251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s="33" customFormat="1" ht="13.8">
      <c r="A185" s="137"/>
      <c r="B185" s="137"/>
      <c r="C185" s="137"/>
      <c r="D185" s="137"/>
      <c r="E185" s="137"/>
      <c r="F185" s="137"/>
      <c r="G185" s="137"/>
      <c r="H185" s="43"/>
      <c r="I185" s="43"/>
      <c r="J185" s="43"/>
      <c r="K185" s="43"/>
      <c r="L185" s="43"/>
      <c r="M185" s="43"/>
      <c r="N185" s="43"/>
      <c r="O185" s="251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</row>
    <row r="186" spans="1:51" s="33" customFormat="1" ht="13.8">
      <c r="A186" s="137"/>
      <c r="B186" s="137"/>
      <c r="C186" s="137"/>
      <c r="D186" s="137"/>
      <c r="E186" s="137"/>
      <c r="F186" s="137"/>
      <c r="G186" s="137"/>
      <c r="H186" s="43"/>
      <c r="I186" s="43"/>
      <c r="J186" s="43"/>
      <c r="K186" s="43"/>
      <c r="L186" s="43"/>
      <c r="M186" s="43"/>
      <c r="N186" s="43"/>
      <c r="O186" s="251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</row>
    <row r="187" spans="1:51" s="33" customFormat="1" ht="13.8">
      <c r="A187" s="137"/>
      <c r="B187" s="137"/>
      <c r="C187" s="137"/>
      <c r="D187" s="137"/>
      <c r="E187" s="137"/>
      <c r="F187" s="137"/>
      <c r="G187" s="137"/>
      <c r="H187" s="43"/>
      <c r="I187" s="43"/>
      <c r="J187" s="43"/>
      <c r="K187" s="43"/>
      <c r="L187" s="43"/>
      <c r="M187" s="43"/>
      <c r="N187" s="43"/>
      <c r="O187" s="251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</row>
    <row r="188" spans="1:51" s="33" customFormat="1" ht="13.8">
      <c r="A188" s="137"/>
      <c r="B188" s="137"/>
      <c r="C188" s="137"/>
      <c r="D188" s="137"/>
      <c r="E188" s="137"/>
      <c r="F188" s="137"/>
      <c r="G188" s="137"/>
      <c r="H188" s="43"/>
      <c r="I188" s="43"/>
      <c r="J188" s="43"/>
      <c r="K188" s="43"/>
      <c r="L188" s="43"/>
      <c r="M188" s="43"/>
      <c r="N188" s="43"/>
      <c r="O188" s="251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</row>
    <row r="189" spans="1:51" s="33" customFormat="1" ht="13.8">
      <c r="A189" s="137"/>
      <c r="B189" s="137"/>
      <c r="C189" s="137"/>
      <c r="D189" s="137"/>
      <c r="E189" s="137"/>
      <c r="F189" s="137"/>
      <c r="G189" s="137"/>
      <c r="H189" s="43"/>
      <c r="I189" s="43"/>
      <c r="J189" s="43"/>
      <c r="K189" s="43"/>
      <c r="L189" s="43"/>
      <c r="M189" s="43"/>
      <c r="N189" s="43"/>
      <c r="O189" s="251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</row>
    <row r="190" spans="1:51" s="33" customFormat="1" ht="13.8">
      <c r="A190" s="137"/>
      <c r="B190" s="137"/>
      <c r="C190" s="137"/>
      <c r="D190" s="137"/>
      <c r="E190" s="137"/>
      <c r="F190" s="137"/>
      <c r="G190" s="137"/>
      <c r="H190" s="43"/>
      <c r="I190" s="43"/>
      <c r="J190" s="43"/>
      <c r="K190" s="43"/>
      <c r="L190" s="43"/>
      <c r="M190" s="43"/>
      <c r="N190" s="43"/>
      <c r="O190" s="251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</row>
    <row r="191" spans="1:51" s="33" customFormat="1" ht="13.8">
      <c r="A191" s="137"/>
      <c r="B191" s="137"/>
      <c r="C191" s="137"/>
      <c r="D191" s="137"/>
      <c r="E191" s="137"/>
      <c r="F191" s="137"/>
      <c r="G191" s="137"/>
      <c r="H191" s="43"/>
      <c r="I191" s="43"/>
      <c r="J191" s="43"/>
      <c r="K191" s="43"/>
      <c r="L191" s="43"/>
      <c r="M191" s="43"/>
      <c r="N191" s="43"/>
      <c r="O191" s="251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</row>
    <row r="192" spans="1:51" s="33" customFormat="1" ht="13.8">
      <c r="A192" s="137"/>
      <c r="B192" s="137"/>
      <c r="C192" s="137"/>
      <c r="D192" s="137"/>
      <c r="E192" s="137"/>
      <c r="F192" s="137"/>
      <c r="G192" s="137"/>
      <c r="H192" s="43"/>
      <c r="I192" s="43"/>
      <c r="J192" s="43"/>
      <c r="K192" s="43"/>
      <c r="L192" s="43"/>
      <c r="M192" s="43"/>
      <c r="N192" s="43"/>
      <c r="O192" s="251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</row>
    <row r="193" spans="1:51" s="33" customFormat="1" ht="13.8">
      <c r="A193" s="137"/>
      <c r="B193" s="137"/>
      <c r="C193" s="137"/>
      <c r="D193" s="137"/>
      <c r="E193" s="137"/>
      <c r="F193" s="137"/>
      <c r="G193" s="137"/>
      <c r="H193" s="43"/>
      <c r="I193" s="43"/>
      <c r="J193" s="43"/>
      <c r="K193" s="43"/>
      <c r="L193" s="43"/>
      <c r="M193" s="43"/>
      <c r="N193" s="43"/>
      <c r="O193" s="251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</row>
    <row r="194" spans="1:51" s="33" customFormat="1" ht="16.5" customHeight="1">
      <c r="A194" s="137"/>
      <c r="B194" s="137"/>
      <c r="C194" s="137"/>
      <c r="D194" s="137"/>
      <c r="E194" s="137"/>
      <c r="F194" s="137"/>
      <c r="G194" s="137"/>
      <c r="H194" s="43"/>
      <c r="I194" s="43"/>
      <c r="J194" s="43"/>
      <c r="K194" s="43"/>
      <c r="L194" s="43"/>
      <c r="M194" s="43"/>
      <c r="N194" s="43"/>
      <c r="O194" s="251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1" s="33" customFormat="1" ht="13.8">
      <c r="A195" s="137"/>
      <c r="B195" s="137"/>
      <c r="C195" s="137"/>
      <c r="D195" s="137"/>
      <c r="E195" s="137"/>
      <c r="F195" s="137"/>
      <c r="G195" s="137"/>
      <c r="H195" s="43"/>
      <c r="I195" s="43"/>
      <c r="J195" s="43"/>
      <c r="K195" s="43"/>
      <c r="L195" s="43"/>
      <c r="M195" s="43"/>
      <c r="N195" s="43"/>
      <c r="O195" s="251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</row>
    <row r="196" spans="1:51" s="33" customFormat="1" ht="13.8">
      <c r="A196" s="137"/>
      <c r="B196" s="137"/>
      <c r="C196" s="137"/>
      <c r="D196" s="137"/>
      <c r="E196" s="137"/>
      <c r="F196" s="137"/>
      <c r="G196" s="137"/>
      <c r="H196" s="43"/>
      <c r="I196" s="43"/>
      <c r="J196" s="43"/>
      <c r="K196" s="43"/>
      <c r="L196" s="43"/>
      <c r="M196" s="43"/>
      <c r="N196" s="43"/>
      <c r="O196" s="251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</row>
    <row r="197" spans="1:51" s="33" customFormat="1" ht="13.8">
      <c r="A197" s="137"/>
      <c r="B197" s="137"/>
      <c r="C197" s="137"/>
      <c r="D197" s="137"/>
      <c r="E197" s="137"/>
      <c r="F197" s="137"/>
      <c r="G197" s="137"/>
      <c r="H197" s="43"/>
      <c r="I197" s="43"/>
      <c r="J197" s="43"/>
      <c r="K197" s="43"/>
      <c r="L197" s="43"/>
      <c r="M197" s="43"/>
      <c r="N197" s="43"/>
      <c r="O197" s="251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</row>
    <row r="198" spans="1:51" s="33" customFormat="1" ht="13.8">
      <c r="A198" s="137"/>
      <c r="B198" s="137"/>
      <c r="C198" s="137"/>
      <c r="D198" s="137"/>
      <c r="E198" s="137"/>
      <c r="F198" s="137"/>
      <c r="G198" s="137"/>
      <c r="H198" s="43"/>
      <c r="I198" s="43"/>
      <c r="J198" s="43"/>
      <c r="K198" s="43"/>
      <c r="L198" s="43"/>
      <c r="M198" s="43"/>
      <c r="N198" s="43"/>
      <c r="O198" s="251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</row>
    <row r="199" spans="1:51" s="33" customFormat="1" ht="13.8">
      <c r="A199" s="137"/>
      <c r="B199" s="137"/>
      <c r="C199" s="137"/>
      <c r="D199" s="137"/>
      <c r="E199" s="137"/>
      <c r="F199" s="137"/>
      <c r="G199" s="137"/>
      <c r="H199" s="43"/>
      <c r="I199" s="43"/>
      <c r="J199" s="43"/>
      <c r="K199" s="43"/>
      <c r="L199" s="43"/>
      <c r="M199" s="43"/>
      <c r="N199" s="43"/>
      <c r="O199" s="251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</row>
    <row r="200" spans="1:51" s="33" customFormat="1" ht="13.8">
      <c r="A200" s="137"/>
      <c r="B200" s="137"/>
      <c r="C200" s="137"/>
      <c r="D200" s="137"/>
      <c r="E200" s="137"/>
      <c r="F200" s="137"/>
      <c r="G200" s="137"/>
      <c r="H200" s="43"/>
      <c r="I200" s="43"/>
      <c r="J200" s="43"/>
      <c r="K200" s="43"/>
      <c r="L200" s="43"/>
      <c r="M200" s="43"/>
      <c r="N200" s="43"/>
      <c r="O200" s="251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</row>
    <row r="201" spans="1:51" s="33" customFormat="1" ht="13.8">
      <c r="A201" s="137"/>
      <c r="B201" s="137"/>
      <c r="C201" s="137"/>
      <c r="D201" s="137"/>
      <c r="E201" s="137"/>
      <c r="F201" s="137"/>
      <c r="G201" s="137"/>
      <c r="H201" s="43"/>
      <c r="I201" s="43"/>
      <c r="J201" s="43"/>
      <c r="K201" s="43"/>
      <c r="L201" s="43"/>
      <c r="M201" s="43"/>
      <c r="N201" s="43"/>
      <c r="O201" s="251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</row>
    <row r="202" spans="1:51" s="33" customFormat="1" ht="13.8">
      <c r="A202" s="339" t="s">
        <v>69</v>
      </c>
      <c r="B202" s="340"/>
      <c r="C202" s="340"/>
      <c r="D202" s="340"/>
      <c r="E202" s="340"/>
      <c r="F202" s="341"/>
      <c r="G202" s="137"/>
      <c r="H202" s="43"/>
      <c r="I202" s="43"/>
      <c r="J202" s="43"/>
      <c r="K202" s="43"/>
      <c r="L202" s="43"/>
      <c r="M202" s="43"/>
      <c r="N202" s="43"/>
      <c r="O202" s="251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s="33" customFormat="1" ht="13.8">
      <c r="A203" s="138" t="s">
        <v>38</v>
      </c>
      <c r="B203" s="337" t="s">
        <v>27</v>
      </c>
      <c r="C203" s="338"/>
      <c r="D203" s="337" t="s">
        <v>68</v>
      </c>
      <c r="E203" s="338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  <c r="O203" s="251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</row>
    <row r="204" spans="1:51" s="33" customFormat="1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  <c r="O204" s="251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</row>
    <row r="205" spans="1:51" s="33" customFormat="1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  <c r="O205" s="251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</row>
    <row r="206" spans="1:51" s="33" customFormat="1" ht="13.8">
      <c r="A206" s="144"/>
      <c r="B206" s="138">
        <v>2024</v>
      </c>
      <c r="C206" s="138">
        <v>2025</v>
      </c>
      <c r="D206" s="138" t="s">
        <v>141</v>
      </c>
      <c r="E206" s="138" t="s">
        <v>237</v>
      </c>
      <c r="F206" s="145"/>
      <c r="G206" s="137"/>
      <c r="H206" s="120" t="str">
        <f t="shared" ref="H206:O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fakts</v>
      </c>
      <c r="O206" s="120" t="str">
        <f t="shared" si="1"/>
        <v>2025 prognoze</v>
      </c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</row>
    <row r="207" spans="1:51" s="33" customFormat="1" ht="12" customHeight="1">
      <c r="A207" s="146" t="s">
        <v>203</v>
      </c>
      <c r="B207" s="147">
        <f ca="1">IFERROR(B168/N207*100,"")</f>
        <v>0.63104283364953562</v>
      </c>
      <c r="C207" s="147">
        <f ca="1">IFERROR(C168/O207*100,"")</f>
        <v>8.8820824506642637E-2</v>
      </c>
      <c r="D207" s="147">
        <f>IFERROR(D168/N207*100,"")</f>
        <v>-0.36932122525458777</v>
      </c>
      <c r="E207" s="147">
        <f>IFERROR(E168/O207*100,"")</f>
        <v>-0.39403425314181389</v>
      </c>
      <c r="F207" s="147">
        <f ca="1">IFERROR(C207-E207,"")</f>
        <v>0.48285507764845653</v>
      </c>
      <c r="G207" s="137"/>
      <c r="H207" s="120">
        <f t="shared" ref="H207:H218" si="2">C561</f>
        <v>32285300</v>
      </c>
      <c r="I207" s="120">
        <f t="shared" ref="I207:I218" si="3">D561</f>
        <v>32283779</v>
      </c>
      <c r="J207" s="120">
        <f t="shared" ref="J207:J218" si="4">E561</f>
        <v>36103656</v>
      </c>
      <c r="K207" s="120">
        <f t="shared" ref="K207:K218" si="5">F561</f>
        <v>36099675</v>
      </c>
      <c r="L207" s="120">
        <f>G561</f>
        <v>39072483</v>
      </c>
      <c r="M207" s="120">
        <f t="shared" ref="M207:M218" si="6">H561</f>
        <v>39372411</v>
      </c>
      <c r="N207" s="120">
        <f t="shared" si="1"/>
        <v>40208388</v>
      </c>
      <c r="O207" s="120">
        <f t="shared" si="1"/>
        <v>41956681.000200301</v>
      </c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</row>
    <row r="208" spans="1:51" s="33" customFormat="1" ht="13.8">
      <c r="A208" s="146" t="s">
        <v>204</v>
      </c>
      <c r="B208" s="147">
        <f t="shared" ref="B208:B218" ca="1" si="7">IFERROR(B169/N208*100,"")</f>
        <v>0.44983398986301021</v>
      </c>
      <c r="C208" s="147">
        <f t="shared" ref="C208:C218" ca="1" si="8">IFERROR(C169/O208*100,"")</f>
        <v>-0.16229102344791174</v>
      </c>
      <c r="D208" s="147">
        <f t="shared" ref="D208:D218" si="9">IFERROR(D169/N208*100,"")</f>
        <v>-0.73864245050917554</v>
      </c>
      <c r="E208" s="147">
        <f t="shared" ref="E208:E218" si="10">IFERROR(E169/O208*100,"")</f>
        <v>-0.78806850628362779</v>
      </c>
      <c r="F208" s="147">
        <f t="shared" ref="F208:F218" ca="1" si="11">IFERROR(C208-E208,"")</f>
        <v>0.6257774828357161</v>
      </c>
      <c r="G208" s="137"/>
      <c r="H208" s="120">
        <f t="shared" si="2"/>
        <v>32285300</v>
      </c>
      <c r="I208" s="120">
        <f t="shared" si="3"/>
        <v>32283779</v>
      </c>
      <c r="J208" s="120">
        <f t="shared" si="4"/>
        <v>36103656</v>
      </c>
      <c r="K208" s="120">
        <f t="shared" si="5"/>
        <v>36099675</v>
      </c>
      <c r="L208" s="120">
        <f t="shared" ref="L208:L218" si="12">G562</f>
        <v>39072483</v>
      </c>
      <c r="M208" s="120">
        <f t="shared" si="6"/>
        <v>39372411</v>
      </c>
      <c r="N208" s="120">
        <f t="shared" si="1"/>
        <v>40208388</v>
      </c>
      <c r="O208" s="120">
        <f t="shared" si="1"/>
        <v>41956681.000200301</v>
      </c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</row>
    <row r="209" spans="1:51" s="33" customFormat="1" ht="13.8">
      <c r="A209" s="146" t="s">
        <v>205</v>
      </c>
      <c r="B209" s="147">
        <f t="shared" ca="1" si="7"/>
        <v>0.10340074812250555</v>
      </c>
      <c r="C209" s="147">
        <f t="shared" ca="1" si="8"/>
        <v>-1.242218894763176</v>
      </c>
      <c r="D209" s="147">
        <f t="shared" si="9"/>
        <v>-1.1079636757637634</v>
      </c>
      <c r="E209" s="147">
        <f t="shared" si="10"/>
        <v>-1.1821027594254416</v>
      </c>
      <c r="F209" s="147">
        <f t="shared" ca="1" si="11"/>
        <v>-6.0116135337734411E-2</v>
      </c>
      <c r="G209" s="137"/>
      <c r="H209" s="120">
        <f t="shared" si="2"/>
        <v>32285300</v>
      </c>
      <c r="I209" s="120">
        <f t="shared" si="3"/>
        <v>32283779</v>
      </c>
      <c r="J209" s="120">
        <f t="shared" si="4"/>
        <v>36103656</v>
      </c>
      <c r="K209" s="120">
        <f t="shared" si="5"/>
        <v>36099675</v>
      </c>
      <c r="L209" s="120">
        <f t="shared" si="12"/>
        <v>39072483</v>
      </c>
      <c r="M209" s="120">
        <f t="shared" si="6"/>
        <v>39372411</v>
      </c>
      <c r="N209" s="120">
        <f t="shared" si="1"/>
        <v>40208388</v>
      </c>
      <c r="O209" s="120">
        <f t="shared" si="1"/>
        <v>41956681.000200301</v>
      </c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</row>
    <row r="210" spans="1:51" s="33" customFormat="1" ht="13.8">
      <c r="A210" s="146" t="s">
        <v>206</v>
      </c>
      <c r="B210" s="147">
        <f t="shared" ca="1" si="7"/>
        <v>-0.23895542392796207</v>
      </c>
      <c r="C210" s="147">
        <f t="shared" ca="1" si="8"/>
        <v>-1.8530088521451198</v>
      </c>
      <c r="D210" s="147">
        <f t="shared" si="9"/>
        <v>-1.4772849010183511</v>
      </c>
      <c r="E210" s="147">
        <f t="shared" si="10"/>
        <v>-1.5761370125672556</v>
      </c>
      <c r="F210" s="147">
        <f t="shared" ca="1" si="11"/>
        <v>-0.27687183957786421</v>
      </c>
      <c r="G210" s="137"/>
      <c r="H210" s="120">
        <f t="shared" si="2"/>
        <v>32285300</v>
      </c>
      <c r="I210" s="120">
        <f t="shared" si="3"/>
        <v>32283779</v>
      </c>
      <c r="J210" s="120">
        <f t="shared" si="4"/>
        <v>36103656</v>
      </c>
      <c r="K210" s="120">
        <f t="shared" si="5"/>
        <v>36099675</v>
      </c>
      <c r="L210" s="120">
        <f t="shared" si="12"/>
        <v>39072483</v>
      </c>
      <c r="M210" s="120">
        <f t="shared" si="6"/>
        <v>39372411</v>
      </c>
      <c r="N210" s="120">
        <f t="shared" si="1"/>
        <v>40208388</v>
      </c>
      <c r="O210" s="120">
        <f t="shared" si="1"/>
        <v>41956681.000200301</v>
      </c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</row>
    <row r="211" spans="1:51" s="33" customFormat="1" ht="13.8">
      <c r="A211" s="146" t="s">
        <v>207</v>
      </c>
      <c r="B211" s="147">
        <f t="shared" ca="1" si="7"/>
        <v>0.62980893439448626</v>
      </c>
      <c r="C211" s="147" t="str">
        <f t="shared" ca="1" si="8"/>
        <v/>
      </c>
      <c r="D211" s="147">
        <f t="shared" si="9"/>
        <v>-1.846606126272939</v>
      </c>
      <c r="E211" s="147">
        <f t="shared" si="10"/>
        <v>-1.9701712657090693</v>
      </c>
      <c r="F211" s="147" t="str">
        <f t="shared" ca="1" si="11"/>
        <v/>
      </c>
      <c r="G211" s="177"/>
      <c r="H211" s="120">
        <f t="shared" si="2"/>
        <v>32285300</v>
      </c>
      <c r="I211" s="120">
        <f t="shared" si="3"/>
        <v>32283779</v>
      </c>
      <c r="J211" s="120">
        <f t="shared" si="4"/>
        <v>36103656</v>
      </c>
      <c r="K211" s="120">
        <f t="shared" si="5"/>
        <v>36099675</v>
      </c>
      <c r="L211" s="120">
        <f t="shared" si="12"/>
        <v>39072483</v>
      </c>
      <c r="M211" s="120">
        <f t="shared" si="6"/>
        <v>39372411</v>
      </c>
      <c r="N211" s="120">
        <f t="shared" si="1"/>
        <v>40208388</v>
      </c>
      <c r="O211" s="120">
        <f t="shared" si="1"/>
        <v>41956681.000200301</v>
      </c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</row>
    <row r="212" spans="1:51" s="33" customFormat="1" ht="13.8">
      <c r="A212" s="146" t="s">
        <v>208</v>
      </c>
      <c r="B212" s="147">
        <f t="shared" ca="1" si="7"/>
        <v>1.5021791348611155</v>
      </c>
      <c r="C212" s="147" t="str">
        <f t="shared" ca="1" si="8"/>
        <v/>
      </c>
      <c r="D212" s="147">
        <f t="shared" si="9"/>
        <v>-2.2159273515275268</v>
      </c>
      <c r="E212" s="147">
        <f t="shared" si="10"/>
        <v>-2.3642055188508833</v>
      </c>
      <c r="F212" s="147" t="str">
        <f t="shared" ca="1" si="11"/>
        <v/>
      </c>
      <c r="G212" s="177"/>
      <c r="H212" s="120">
        <f t="shared" si="2"/>
        <v>32285300</v>
      </c>
      <c r="I212" s="120">
        <f t="shared" si="3"/>
        <v>32283779</v>
      </c>
      <c r="J212" s="120">
        <f t="shared" si="4"/>
        <v>36103656</v>
      </c>
      <c r="K212" s="120">
        <f t="shared" si="5"/>
        <v>36099675</v>
      </c>
      <c r="L212" s="120">
        <f t="shared" si="12"/>
        <v>39072483</v>
      </c>
      <c r="M212" s="120">
        <f t="shared" si="6"/>
        <v>39372411</v>
      </c>
      <c r="N212" s="120">
        <f t="shared" si="1"/>
        <v>40208388</v>
      </c>
      <c r="O212" s="120">
        <f t="shared" si="1"/>
        <v>41956681.000200301</v>
      </c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</row>
    <row r="213" spans="1:51" s="33" customFormat="1" ht="13.8">
      <c r="A213" s="146" t="s">
        <v>209</v>
      </c>
      <c r="B213" s="147">
        <f t="shared" ca="1" si="7"/>
        <v>1.4673677542108874</v>
      </c>
      <c r="C213" s="147" t="str">
        <f t="shared" ca="1" si="8"/>
        <v/>
      </c>
      <c r="D213" s="147">
        <f t="shared" si="9"/>
        <v>-2.5852485767821145</v>
      </c>
      <c r="E213" s="147">
        <f t="shared" si="10"/>
        <v>-2.758239771992697</v>
      </c>
      <c r="F213" s="147" t="str">
        <f t="shared" ca="1" si="11"/>
        <v/>
      </c>
      <c r="G213" s="177"/>
      <c r="H213" s="120">
        <f t="shared" si="2"/>
        <v>32285300</v>
      </c>
      <c r="I213" s="120">
        <f t="shared" si="3"/>
        <v>32283779</v>
      </c>
      <c r="J213" s="120">
        <f t="shared" si="4"/>
        <v>36103656</v>
      </c>
      <c r="K213" s="120">
        <f t="shared" si="5"/>
        <v>36099675</v>
      </c>
      <c r="L213" s="120">
        <f t="shared" si="12"/>
        <v>39072483</v>
      </c>
      <c r="M213" s="120">
        <f t="shared" si="6"/>
        <v>39372411</v>
      </c>
      <c r="N213" s="120">
        <f t="shared" si="1"/>
        <v>40208388</v>
      </c>
      <c r="O213" s="120">
        <f t="shared" si="1"/>
        <v>41956681.000200301</v>
      </c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</row>
    <row r="214" spans="1:51" s="33" customFormat="1" ht="13.8">
      <c r="A214" s="146" t="s">
        <v>210</v>
      </c>
      <c r="B214" s="147">
        <f t="shared" ca="1" si="7"/>
        <v>1.6167684489116989</v>
      </c>
      <c r="C214" s="147" t="str">
        <f t="shared" ca="1" si="8"/>
        <v/>
      </c>
      <c r="D214" s="147">
        <f t="shared" si="9"/>
        <v>-2.9545698020367022</v>
      </c>
      <c r="E214" s="147">
        <f t="shared" si="10"/>
        <v>-3.1522740251345112</v>
      </c>
      <c r="F214" s="147" t="str">
        <f t="shared" ca="1" si="11"/>
        <v/>
      </c>
      <c r="G214" s="177"/>
      <c r="H214" s="120">
        <f t="shared" si="2"/>
        <v>32285300</v>
      </c>
      <c r="I214" s="120">
        <f t="shared" si="3"/>
        <v>32283779</v>
      </c>
      <c r="J214" s="120">
        <f t="shared" si="4"/>
        <v>36103656</v>
      </c>
      <c r="K214" s="120">
        <f t="shared" si="5"/>
        <v>36099675</v>
      </c>
      <c r="L214" s="120">
        <f t="shared" si="12"/>
        <v>39072483</v>
      </c>
      <c r="M214" s="120">
        <f t="shared" si="6"/>
        <v>39372411</v>
      </c>
      <c r="N214" s="120">
        <f t="shared" si="1"/>
        <v>40208388</v>
      </c>
      <c r="O214" s="120">
        <f t="shared" si="1"/>
        <v>41956681.000200301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</row>
    <row r="215" spans="1:51" s="33" customFormat="1" ht="13.8">
      <c r="A215" s="146" t="s">
        <v>211</v>
      </c>
      <c r="B215" s="147">
        <f t="shared" ca="1" si="7"/>
        <v>1.5098396110781656</v>
      </c>
      <c r="C215" s="147" t="str">
        <f t="shared" ca="1" si="8"/>
        <v/>
      </c>
      <c r="D215" s="147">
        <f t="shared" si="9"/>
        <v>-3.3238910272912898</v>
      </c>
      <c r="E215" s="147">
        <f t="shared" si="10"/>
        <v>-3.5463082782763249</v>
      </c>
      <c r="F215" s="147" t="str">
        <f t="shared" ca="1" si="11"/>
        <v/>
      </c>
      <c r="G215" s="137"/>
      <c r="H215" s="120">
        <f t="shared" si="2"/>
        <v>32285300</v>
      </c>
      <c r="I215" s="120">
        <f t="shared" si="3"/>
        <v>32283779</v>
      </c>
      <c r="J215" s="120">
        <f t="shared" si="4"/>
        <v>36103656</v>
      </c>
      <c r="K215" s="120">
        <f t="shared" si="5"/>
        <v>36099675</v>
      </c>
      <c r="L215" s="120">
        <f t="shared" si="12"/>
        <v>39072483</v>
      </c>
      <c r="M215" s="120">
        <f t="shared" si="6"/>
        <v>39372411</v>
      </c>
      <c r="N215" s="120">
        <f t="shared" si="1"/>
        <v>40208388</v>
      </c>
      <c r="O215" s="120">
        <f t="shared" si="1"/>
        <v>41956681.000200301</v>
      </c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</row>
    <row r="216" spans="1:51" s="33" customFormat="1" ht="13.8">
      <c r="A216" s="146" t="s">
        <v>212</v>
      </c>
      <c r="B216" s="147">
        <f t="shared" ca="1" si="7"/>
        <v>0.77508000072023986</v>
      </c>
      <c r="C216" s="147" t="str">
        <f t="shared" ca="1" si="8"/>
        <v/>
      </c>
      <c r="D216" s="147">
        <f t="shared" si="9"/>
        <v>-3.6932122525458779</v>
      </c>
      <c r="E216" s="147">
        <f t="shared" si="10"/>
        <v>-3.9403425314181386</v>
      </c>
      <c r="F216" s="147" t="str">
        <f t="shared" ca="1" si="11"/>
        <v/>
      </c>
      <c r="G216" s="137"/>
      <c r="H216" s="120">
        <f t="shared" si="2"/>
        <v>32285300</v>
      </c>
      <c r="I216" s="120">
        <f t="shared" si="3"/>
        <v>32283779</v>
      </c>
      <c r="J216" s="120">
        <f t="shared" si="4"/>
        <v>36103656</v>
      </c>
      <c r="K216" s="120">
        <f t="shared" si="5"/>
        <v>36099675</v>
      </c>
      <c r="L216" s="120">
        <f t="shared" si="12"/>
        <v>39072483</v>
      </c>
      <c r="M216" s="120">
        <f t="shared" si="6"/>
        <v>39372411</v>
      </c>
      <c r="N216" s="120">
        <f t="shared" si="1"/>
        <v>40208388</v>
      </c>
      <c r="O216" s="120">
        <f t="shared" si="1"/>
        <v>41956681.000200301</v>
      </c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</row>
    <row r="217" spans="1:51" s="33" customFormat="1" ht="13.8">
      <c r="A217" s="146" t="s">
        <v>213</v>
      </c>
      <c r="B217" s="147">
        <f t="shared" ca="1" si="7"/>
        <v>0.17282897289987639</v>
      </c>
      <c r="C217" s="147" t="str">
        <f t="shared" ca="1" si="8"/>
        <v/>
      </c>
      <c r="D217" s="147">
        <f t="shared" si="9"/>
        <v>-4.062533477800466</v>
      </c>
      <c r="E217" s="147">
        <f t="shared" si="10"/>
        <v>-4.3343767845599528</v>
      </c>
      <c r="F217" s="147" t="str">
        <f t="shared" ca="1" si="11"/>
        <v/>
      </c>
      <c r="G217" s="137"/>
      <c r="H217" s="120">
        <f t="shared" si="2"/>
        <v>32285300</v>
      </c>
      <c r="I217" s="120">
        <f t="shared" si="3"/>
        <v>32283779</v>
      </c>
      <c r="J217" s="120">
        <f t="shared" si="4"/>
        <v>36103656</v>
      </c>
      <c r="K217" s="120">
        <f t="shared" si="5"/>
        <v>36099675</v>
      </c>
      <c r="L217" s="120">
        <f t="shared" si="12"/>
        <v>39072483</v>
      </c>
      <c r="M217" s="120">
        <f t="shared" si="6"/>
        <v>39372411</v>
      </c>
      <c r="N217" s="120">
        <f t="shared" si="1"/>
        <v>40208388</v>
      </c>
      <c r="O217" s="120">
        <f t="shared" si="1"/>
        <v>41956681.000200301</v>
      </c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</row>
    <row r="218" spans="1:51" s="33" customFormat="1" ht="13.8">
      <c r="A218" s="146" t="s">
        <v>214</v>
      </c>
      <c r="B218" s="147">
        <f t="shared" ca="1" si="7"/>
        <v>-1.8233131604281316</v>
      </c>
      <c r="C218" s="147" t="str">
        <f t="shared" ca="1" si="8"/>
        <v/>
      </c>
      <c r="D218" s="147">
        <f t="shared" si="9"/>
        <v>-4.4318547030550537</v>
      </c>
      <c r="E218" s="147">
        <f t="shared" si="10"/>
        <v>-4.7284110377017665</v>
      </c>
      <c r="F218" s="147" t="str">
        <f t="shared" ca="1" si="11"/>
        <v/>
      </c>
      <c r="G218" s="137"/>
      <c r="H218" s="120">
        <f t="shared" si="2"/>
        <v>32285300</v>
      </c>
      <c r="I218" s="120">
        <f t="shared" si="3"/>
        <v>32283779</v>
      </c>
      <c r="J218" s="120">
        <f t="shared" si="4"/>
        <v>36103656</v>
      </c>
      <c r="K218" s="120">
        <f t="shared" si="5"/>
        <v>36099675</v>
      </c>
      <c r="L218" s="120">
        <f t="shared" si="12"/>
        <v>39072483</v>
      </c>
      <c r="M218" s="120">
        <f t="shared" si="6"/>
        <v>39372411</v>
      </c>
      <c r="N218" s="120">
        <f t="shared" si="1"/>
        <v>40208388</v>
      </c>
      <c r="O218" s="120">
        <f t="shared" si="1"/>
        <v>41956681.000200301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</row>
    <row r="219" spans="1:51" s="33" customFormat="1" ht="13.8">
      <c r="A219" s="137"/>
      <c r="B219" s="137"/>
      <c r="C219" s="137"/>
      <c r="D219" s="137"/>
      <c r="E219" s="137"/>
      <c r="F219" s="137"/>
      <c r="G219" s="137"/>
      <c r="H219" s="110"/>
      <c r="I219" s="110"/>
      <c r="J219" s="110"/>
      <c r="K219" s="110"/>
      <c r="L219" s="110"/>
      <c r="M219" s="110"/>
      <c r="N219" s="110"/>
      <c r="O219" s="251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</row>
    <row r="220" spans="1:51" s="33" customFormat="1" ht="13.8">
      <c r="A220" s="137"/>
      <c r="B220" s="137"/>
      <c r="C220" s="137"/>
      <c r="D220" s="137"/>
      <c r="E220" s="137"/>
      <c r="F220" s="137"/>
      <c r="G220" s="137"/>
      <c r="H220" s="43"/>
      <c r="I220" s="43"/>
      <c r="J220" s="43"/>
      <c r="K220" s="43"/>
      <c r="L220" s="43"/>
      <c r="M220" s="43"/>
      <c r="N220" s="43"/>
      <c r="O220" s="251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s="33" customFormat="1" ht="13.8">
      <c r="A221" s="137"/>
      <c r="B221" s="137"/>
      <c r="C221" s="137"/>
      <c r="D221" s="137"/>
      <c r="E221" s="137"/>
      <c r="F221" s="137"/>
      <c r="G221" s="137"/>
      <c r="H221" s="43"/>
      <c r="I221" s="43"/>
      <c r="J221" s="43"/>
      <c r="K221" s="43"/>
      <c r="L221" s="43"/>
      <c r="M221" s="43"/>
      <c r="N221" s="43"/>
      <c r="O221" s="251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</row>
    <row r="222" spans="1:51" s="33" customFormat="1" ht="13.8">
      <c r="A222" s="137"/>
      <c r="B222" s="137"/>
      <c r="C222" s="137"/>
      <c r="D222" s="137"/>
      <c r="E222" s="137"/>
      <c r="F222" s="137"/>
      <c r="G222" s="137"/>
      <c r="H222" s="43"/>
      <c r="I222" s="43"/>
      <c r="J222" s="43"/>
      <c r="K222" s="43"/>
      <c r="L222" s="43"/>
      <c r="M222" s="43"/>
      <c r="N222" s="43"/>
      <c r="O222" s="251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</row>
    <row r="223" spans="1:51" s="33" customFormat="1" ht="13.8">
      <c r="A223" s="137"/>
      <c r="B223" s="137"/>
      <c r="C223" s="137"/>
      <c r="D223" s="137"/>
      <c r="E223" s="137"/>
      <c r="F223" s="137"/>
      <c r="G223" s="137"/>
      <c r="H223" s="43"/>
      <c r="I223" s="43"/>
      <c r="J223" s="43"/>
      <c r="K223" s="43"/>
      <c r="L223" s="43"/>
      <c r="M223" s="43"/>
      <c r="N223" s="43"/>
      <c r="O223" s="251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</row>
    <row r="224" spans="1:51" s="33" customFormat="1" ht="13.8">
      <c r="A224" s="137"/>
      <c r="B224" s="137"/>
      <c r="C224" s="137"/>
      <c r="D224" s="137"/>
      <c r="E224" s="137"/>
      <c r="F224" s="137"/>
      <c r="G224" s="137"/>
      <c r="H224" s="43"/>
      <c r="I224" s="43"/>
      <c r="J224" s="43"/>
      <c r="K224" s="43"/>
      <c r="L224" s="43"/>
      <c r="M224" s="43"/>
      <c r="N224" s="43"/>
      <c r="O224" s="251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</row>
    <row r="225" spans="1:51" s="33" customFormat="1" ht="13.8">
      <c r="A225" s="137"/>
      <c r="B225" s="137"/>
      <c r="C225" s="137"/>
      <c r="D225" s="137"/>
      <c r="E225" s="137"/>
      <c r="F225" s="137"/>
      <c r="G225" s="137"/>
      <c r="H225" s="43"/>
      <c r="I225" s="43"/>
      <c r="J225" s="43"/>
      <c r="K225" s="43"/>
      <c r="L225" s="43"/>
      <c r="M225" s="43"/>
      <c r="N225" s="43"/>
      <c r="O225" s="251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</row>
    <row r="226" spans="1:51" s="33" customFormat="1" ht="13.8">
      <c r="A226" s="137"/>
      <c r="B226" s="137"/>
      <c r="C226" s="137"/>
      <c r="D226" s="137"/>
      <c r="E226" s="137"/>
      <c r="F226" s="137"/>
      <c r="G226" s="137"/>
      <c r="H226" s="43"/>
      <c r="I226" s="43"/>
      <c r="J226" s="43"/>
      <c r="K226" s="43"/>
      <c r="L226" s="43"/>
      <c r="M226" s="43"/>
      <c r="N226" s="43"/>
      <c r="O226" s="251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</row>
    <row r="227" spans="1:51" s="33" customFormat="1" ht="13.8">
      <c r="A227" s="137"/>
      <c r="B227" s="137"/>
      <c r="C227" s="137"/>
      <c r="D227" s="137"/>
      <c r="E227" s="137"/>
      <c r="F227" s="137"/>
      <c r="G227" s="137"/>
      <c r="H227" s="43"/>
      <c r="I227" s="43"/>
      <c r="J227" s="43"/>
      <c r="K227" s="43"/>
      <c r="L227" s="43"/>
      <c r="M227" s="43"/>
      <c r="N227" s="43"/>
      <c r="O227" s="251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</row>
    <row r="228" spans="1:51" s="33" customFormat="1" ht="13.8">
      <c r="A228" s="137"/>
      <c r="B228" s="137"/>
      <c r="C228" s="137"/>
      <c r="D228" s="137"/>
      <c r="E228" s="137"/>
      <c r="F228" s="137"/>
      <c r="G228" s="137"/>
      <c r="H228" s="43"/>
      <c r="I228" s="43"/>
      <c r="J228" s="43"/>
      <c r="K228" s="43"/>
      <c r="L228" s="43"/>
      <c r="M228" s="43"/>
      <c r="N228" s="43"/>
      <c r="O228" s="251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</row>
    <row r="229" spans="1:51" s="33" customFormat="1" ht="13.8">
      <c r="A229" s="137"/>
      <c r="B229" s="137"/>
      <c r="C229" s="137"/>
      <c r="D229" s="137"/>
      <c r="E229" s="137"/>
      <c r="F229" s="137"/>
      <c r="G229" s="137"/>
      <c r="H229" s="43"/>
      <c r="I229" s="43"/>
      <c r="J229" s="43"/>
      <c r="K229" s="43"/>
      <c r="L229" s="43"/>
      <c r="M229" s="43"/>
      <c r="N229" s="43"/>
      <c r="O229" s="251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</row>
    <row r="230" spans="1:51" s="33" customFormat="1" ht="13.8">
      <c r="A230" s="137"/>
      <c r="B230" s="137"/>
      <c r="C230" s="137"/>
      <c r="D230" s="137"/>
      <c r="E230" s="137"/>
      <c r="F230" s="137"/>
      <c r="G230" s="137"/>
      <c r="H230" s="43"/>
      <c r="I230" s="43"/>
      <c r="J230" s="43"/>
      <c r="K230" s="43"/>
      <c r="L230" s="43"/>
      <c r="M230" s="43"/>
      <c r="N230" s="43"/>
      <c r="O230" s="251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</row>
    <row r="231" spans="1:51" s="33" customFormat="1" ht="13.8">
      <c r="A231" s="137"/>
      <c r="B231" s="137"/>
      <c r="C231" s="137"/>
      <c r="D231" s="137"/>
      <c r="E231" s="137"/>
      <c r="F231" s="137"/>
      <c r="G231" s="137"/>
      <c r="H231" s="43"/>
      <c r="I231" s="43"/>
      <c r="J231" s="43"/>
      <c r="K231" s="43"/>
      <c r="L231" s="43"/>
      <c r="M231" s="43"/>
      <c r="N231" s="43"/>
      <c r="O231" s="251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</row>
    <row r="232" spans="1:51" s="33" customFormat="1" ht="13.8">
      <c r="A232" s="137"/>
      <c r="B232" s="137"/>
      <c r="C232" s="137"/>
      <c r="D232" s="137"/>
      <c r="E232" s="137"/>
      <c r="F232" s="137"/>
      <c r="G232" s="137"/>
      <c r="H232" s="43"/>
      <c r="I232" s="43"/>
      <c r="J232" s="43"/>
      <c r="K232" s="43"/>
      <c r="L232" s="43"/>
      <c r="M232" s="43"/>
      <c r="N232" s="43"/>
      <c r="O232" s="251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</row>
    <row r="233" spans="1:51" s="33" customFormat="1" ht="13.8">
      <c r="A233" s="137"/>
      <c r="B233" s="137"/>
      <c r="C233" s="137"/>
      <c r="D233" s="137"/>
      <c r="E233" s="137"/>
      <c r="F233" s="137"/>
      <c r="G233" s="137"/>
      <c r="H233" s="43"/>
      <c r="I233" s="43"/>
      <c r="J233" s="43"/>
      <c r="K233" s="43"/>
      <c r="L233" s="43"/>
      <c r="M233" s="43"/>
      <c r="N233" s="43"/>
      <c r="O233" s="251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</row>
    <row r="234" spans="1:51" s="33" customFormat="1" ht="13.8">
      <c r="A234" s="137"/>
      <c r="B234" s="137"/>
      <c r="C234" s="137"/>
      <c r="D234" s="137"/>
      <c r="E234" s="137"/>
      <c r="F234" s="137"/>
      <c r="G234" s="137"/>
      <c r="H234" s="43"/>
      <c r="I234" s="43"/>
      <c r="J234" s="43"/>
      <c r="K234" s="43"/>
      <c r="L234" s="43"/>
      <c r="M234" s="43"/>
      <c r="N234" s="43"/>
      <c r="O234" s="251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</row>
    <row r="235" spans="1:51" s="33" customFormat="1" ht="13.8">
      <c r="A235" s="137"/>
      <c r="B235" s="137"/>
      <c r="C235" s="137"/>
      <c r="D235" s="137"/>
      <c r="E235" s="137"/>
      <c r="F235" s="137"/>
      <c r="G235" s="137"/>
      <c r="H235" s="43"/>
      <c r="I235" s="43"/>
      <c r="J235" s="43"/>
      <c r="K235" s="43"/>
      <c r="L235" s="43"/>
      <c r="M235" s="43"/>
      <c r="N235" s="43"/>
      <c r="O235" s="251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</row>
    <row r="236" spans="1:51" s="33" customFormat="1" ht="13.8">
      <c r="A236" s="137"/>
      <c r="B236" s="137"/>
      <c r="C236" s="137"/>
      <c r="D236" s="137"/>
      <c r="E236" s="137"/>
      <c r="F236" s="137"/>
      <c r="G236" s="137"/>
      <c r="H236" s="43"/>
      <c r="I236" s="43"/>
      <c r="J236" s="43"/>
      <c r="K236" s="43"/>
      <c r="L236" s="43"/>
      <c r="M236" s="43"/>
      <c r="N236" s="43"/>
      <c r="O236" s="251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</row>
    <row r="237" spans="1:51" s="33" customFormat="1" ht="13.8">
      <c r="A237" s="137"/>
      <c r="B237" s="137"/>
      <c r="C237" s="137"/>
      <c r="D237" s="137"/>
      <c r="E237" s="137"/>
      <c r="F237" s="137"/>
      <c r="G237" s="137"/>
      <c r="H237" s="43"/>
      <c r="I237" s="43"/>
      <c r="J237" s="43"/>
      <c r="K237" s="43"/>
      <c r="L237" s="43"/>
      <c r="M237" s="43"/>
      <c r="N237" s="43"/>
      <c r="O237" s="251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</row>
    <row r="238" spans="1:51" s="33" customFormat="1" ht="13.8">
      <c r="A238" s="137"/>
      <c r="B238" s="137"/>
      <c r="C238" s="137"/>
      <c r="D238" s="137"/>
      <c r="E238" s="137"/>
      <c r="F238" s="137"/>
      <c r="G238" s="137"/>
      <c r="H238" s="43"/>
      <c r="I238" s="43"/>
      <c r="J238" s="43"/>
      <c r="K238" s="43"/>
      <c r="L238" s="43"/>
      <c r="M238" s="43"/>
      <c r="N238" s="43"/>
      <c r="O238" s="251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</row>
    <row r="239" spans="1:51" s="33" customFormat="1" ht="13.8">
      <c r="A239" s="137"/>
      <c r="B239" s="137"/>
      <c r="C239" s="137"/>
      <c r="D239" s="137"/>
      <c r="E239" s="137"/>
      <c r="F239" s="137"/>
      <c r="G239" s="137"/>
      <c r="H239" s="43"/>
      <c r="I239" s="43"/>
      <c r="J239" s="43"/>
      <c r="K239" s="43"/>
      <c r="L239" s="43"/>
      <c r="M239" s="43"/>
      <c r="N239" s="43"/>
      <c r="O239" s="251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</row>
    <row r="240" spans="1:51" s="33" customFormat="1" ht="13.8">
      <c r="A240" s="137"/>
      <c r="B240" s="137"/>
      <c r="C240" s="137"/>
      <c r="D240" s="137"/>
      <c r="E240" s="137"/>
      <c r="F240" s="137"/>
      <c r="G240" s="137"/>
      <c r="H240" s="43"/>
      <c r="I240" s="43"/>
      <c r="J240" s="43"/>
      <c r="K240" s="43"/>
      <c r="L240" s="43"/>
      <c r="M240" s="43"/>
      <c r="N240" s="43"/>
      <c r="O240" s="251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</row>
    <row r="241" spans="1:51" s="33" customFormat="1" ht="13.8">
      <c r="A241" s="339" t="s">
        <v>97</v>
      </c>
      <c r="B241" s="340"/>
      <c r="C241" s="340"/>
      <c r="D241" s="340"/>
      <c r="E241" s="340"/>
      <c r="F241" s="341"/>
      <c r="G241" s="137"/>
      <c r="H241" s="43"/>
      <c r="I241" s="43"/>
      <c r="J241" s="43"/>
      <c r="K241" s="43"/>
      <c r="L241" s="43"/>
      <c r="M241" s="43"/>
      <c r="N241" s="43"/>
      <c r="O241" s="251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</row>
    <row r="242" spans="1:51" s="33" customFormat="1" ht="13.8">
      <c r="A242" s="138" t="s">
        <v>38</v>
      </c>
      <c r="B242" s="337" t="s">
        <v>27</v>
      </c>
      <c r="C242" s="338"/>
      <c r="D242" s="337" t="s">
        <v>68</v>
      </c>
      <c r="E242" s="338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  <c r="O242" s="251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</row>
    <row r="243" spans="1:51" s="33" customFormat="1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  <c r="O243" s="251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</row>
    <row r="244" spans="1:51" s="33" customFormat="1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  <c r="O244" s="251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</row>
    <row r="245" spans="1:51" s="33" customFormat="1" ht="13.8">
      <c r="A245" s="144"/>
      <c r="B245" s="138">
        <v>2024</v>
      </c>
      <c r="C245" s="138">
        <v>2025</v>
      </c>
      <c r="D245" s="138" t="s">
        <v>141</v>
      </c>
      <c r="E245" s="138" t="s">
        <v>237</v>
      </c>
      <c r="F245" s="145"/>
      <c r="G245" s="137"/>
      <c r="H245" s="43"/>
      <c r="I245" s="43"/>
      <c r="J245" s="43"/>
      <c r="K245" s="43"/>
      <c r="L245" s="43"/>
      <c r="M245" s="43"/>
      <c r="N245" s="43"/>
      <c r="O245" s="251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</row>
    <row r="246" spans="1:51" s="33" customFormat="1" ht="13.8">
      <c r="A246" s="146" t="s">
        <v>203</v>
      </c>
      <c r="B246" s="150">
        <f ca="1">IF(INDIRECT(ADDRESS(ROW('1'!AK$29),COLUMN('1'!AA10)+ROW(A2)+52,1,1,"1"))="","",INDIRECT(ADDRESS(ROW('1'!AK$29),COLUMN('1'!AA10)+ROW(A1)+52,1,1,"1")))</f>
        <v>111979.60499999998</v>
      </c>
      <c r="C246" s="150">
        <f ca="1">IF(INDIRECT(ADDRESS(ROW('1'!AK$29),COLUMN('1'!AA10)+ROW(A2)+65,1,1,"1"))="","",INDIRECT(ADDRESS(ROW('1'!AK$29),COLUMN('1'!AA10)+ROW(A1)+65,1,1,"1")))</f>
        <v>-125998.94214000006</v>
      </c>
      <c r="D246" s="150">
        <f>'1'!$CN$29*ROW(A1)/12</f>
        <v>-177295.41116666669</v>
      </c>
      <c r="E246" s="150">
        <f>'1'!$CS$29*ROW(A1)/12</f>
        <v>-206503.98058333309</v>
      </c>
      <c r="F246" s="150">
        <f ca="1">IFERROR(C246-E246,"")</f>
        <v>80505.038443333033</v>
      </c>
      <c r="G246" s="137"/>
      <c r="H246" s="43"/>
      <c r="I246" s="43"/>
      <c r="J246" s="43"/>
      <c r="K246" s="43"/>
      <c r="L246" s="43"/>
      <c r="M246" s="43"/>
      <c r="N246" s="43"/>
      <c r="O246" s="251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</row>
    <row r="247" spans="1:51" s="33" customFormat="1" ht="13.8">
      <c r="A247" s="146" t="s">
        <v>204</v>
      </c>
      <c r="B247" s="150">
        <f ca="1">IF(INDIRECT(ADDRESS(ROW('1'!AK$29),COLUMN('1'!AA11)+ROW(A3)+52,1,1,"1"))="","",INDIRECT(ADDRESS(ROW('1'!AK$29),COLUMN('1'!AA11)+ROW(A2)+52,1,1,"1")))</f>
        <v>-22271.229999999981</v>
      </c>
      <c r="C247" s="150">
        <f ca="1">IF(INDIRECT(ADDRESS(ROW('1'!AK$29),COLUMN('1'!AA11)+ROW(A3)+65,1,1,"1"))="","",INDIRECT(ADDRESS(ROW('1'!AK$29),COLUMN('1'!AA11)+ROW(A2)+65,1,1,"1")))</f>
        <v>-273078.73288000003</v>
      </c>
      <c r="D247" s="150">
        <f>'1'!$CN$29*ROW(A2)/12</f>
        <v>-354590.82233333337</v>
      </c>
      <c r="E247" s="150">
        <f>'1'!$CS$29*ROW(A2)/12</f>
        <v>-413007.96116666618</v>
      </c>
      <c r="F247" s="150">
        <f t="shared" ref="F247:F257" ca="1" si="13">IFERROR(C247-E247,"")</f>
        <v>139929.22828666616</v>
      </c>
      <c r="G247" s="137"/>
      <c r="H247" s="43"/>
      <c r="I247" s="43"/>
      <c r="J247" s="43"/>
      <c r="K247" s="43"/>
      <c r="L247" s="43"/>
      <c r="M247" s="43"/>
      <c r="N247" s="43"/>
      <c r="O247" s="251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</row>
    <row r="248" spans="1:51" s="33" customFormat="1" ht="13.8">
      <c r="A248" s="146" t="s">
        <v>205</v>
      </c>
      <c r="B248" s="150">
        <f ca="1">IF(INDIRECT(ADDRESS(ROW('1'!AK$29),COLUMN('1'!AA12)+ROW(A4)+52,1,1,"1"))="","",INDIRECT(ADDRESS(ROW('1'!AK$29),COLUMN('1'!AA12)+ROW(A3)+52,1,1,"1")))</f>
        <v>-126079.60699999984</v>
      </c>
      <c r="C248" s="150">
        <f ca="1">IF(INDIRECT(ADDRESS(ROW('1'!AK$29),COLUMN('1'!AA12)+ROW(A4)+65,1,1,"1"))="","",INDIRECT(ADDRESS(ROW('1'!AK$29),COLUMN('1'!AA12)+ROW(A3)+65,1,1,"1")))</f>
        <v>-767290.24922999926</v>
      </c>
      <c r="D248" s="150">
        <f>'1'!$CN$29*ROW(A3)/12</f>
        <v>-531886.23350000009</v>
      </c>
      <c r="E248" s="150">
        <f>'1'!$CS$29*ROW(A3)/12</f>
        <v>-619511.9417499993</v>
      </c>
      <c r="F248" s="150">
        <f t="shared" ca="1" si="13"/>
        <v>-147778.30747999996</v>
      </c>
      <c r="G248" s="137"/>
      <c r="H248" s="43"/>
      <c r="I248" s="43"/>
      <c r="J248" s="43"/>
      <c r="K248" s="43"/>
      <c r="L248" s="43"/>
      <c r="M248" s="43"/>
      <c r="N248" s="43"/>
      <c r="O248" s="251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</row>
    <row r="249" spans="1:51" s="33" customFormat="1" ht="13.8">
      <c r="A249" s="146" t="s">
        <v>206</v>
      </c>
      <c r="B249" s="150">
        <f ca="1">IF(INDIRECT(ADDRESS(ROW('1'!AK$29),COLUMN('1'!AA13)+ROW(A5)+52,1,1,"1"))="","",INDIRECT(ADDRESS(ROW('1'!AK$29),COLUMN('1'!AA13)+ROW(A4)+52,1,1,"1")))</f>
        <v>-373733.7070000004</v>
      </c>
      <c r="C249" s="150">
        <f ca="1">IF(INDIRECT(ADDRESS(ROW('1'!AK$29),COLUMN('1'!AA13)+ROW(A5)+65,1,1,"1"))="","",INDIRECT(ADDRESS(ROW('1'!AK$29),COLUMN('1'!AA13)+ROW(A4)+65,1,1,"1")))</f>
        <v>-985219.2032999997</v>
      </c>
      <c r="D249" s="150">
        <f>'1'!$CN$29*ROW(A4)/12</f>
        <v>-709181.64466666675</v>
      </c>
      <c r="E249" s="150">
        <f>'1'!$CS$29*ROW(A4)/12</f>
        <v>-826015.92233333236</v>
      </c>
      <c r="F249" s="150">
        <f t="shared" ca="1" si="13"/>
        <v>-159203.28096666734</v>
      </c>
      <c r="G249" s="137"/>
      <c r="H249" s="43"/>
      <c r="I249" s="43"/>
      <c r="J249" s="43"/>
      <c r="K249" s="43"/>
      <c r="L249" s="43"/>
      <c r="M249" s="43"/>
      <c r="N249" s="43"/>
      <c r="O249" s="251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</row>
    <row r="250" spans="1:51" s="33" customFormat="1" ht="13.8">
      <c r="A250" s="146" t="s">
        <v>207</v>
      </c>
      <c r="B250" s="150">
        <f ca="1">IF(INDIRECT(ADDRESS(ROW('1'!AK$29),COLUMN('1'!AA14)+ROW(A6)+52,1,1,"1"))="","",INDIRECT(ADDRESS(ROW('1'!AK$29),COLUMN('1'!AA14)+ROW(A5)+52,1,1,"1")))</f>
        <v>-44638.879000000656</v>
      </c>
      <c r="C250" s="150" t="str">
        <f ca="1">IF(INDIRECT(ADDRESS(ROW('1'!AK$29),COLUMN('1'!AA14)+ROW(A6)+65,1,1,"1"))="","",INDIRECT(ADDRESS(ROW('1'!AK$29),COLUMN('1'!AA14)+ROW(A5)+65,1,1,"1")))</f>
        <v/>
      </c>
      <c r="D250" s="150">
        <f>'1'!$CN$29*ROW(A5)/12</f>
        <v>-886477.05583333352</v>
      </c>
      <c r="E250" s="150">
        <f>'1'!$CS$29*ROW(A5)/12</f>
        <v>-1032519.9029166655</v>
      </c>
      <c r="F250" s="150" t="str">
        <f t="shared" ca="1" si="13"/>
        <v/>
      </c>
      <c r="G250" s="137"/>
      <c r="H250" s="43"/>
      <c r="I250" s="43"/>
      <c r="J250" s="43"/>
      <c r="K250" s="43"/>
      <c r="L250" s="43"/>
      <c r="M250" s="43"/>
      <c r="N250" s="43"/>
      <c r="O250" s="251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</row>
    <row r="251" spans="1:51" s="33" customFormat="1" ht="13.8">
      <c r="A251" s="146" t="s">
        <v>208</v>
      </c>
      <c r="B251" s="150">
        <f ca="1">IF(INDIRECT(ADDRESS(ROW('1'!AK$29),COLUMN('1'!AA15)+ROW(A7)+52,1,1,"1"))="","",INDIRECT(ADDRESS(ROW('1'!AK$29),COLUMN('1'!AA15)+ROW(A6)+52,1,1,"1")))</f>
        <v>256429.41399999987</v>
      </c>
      <c r="C251" s="150" t="str">
        <f ca="1">IF(INDIRECT(ADDRESS(ROW('1'!AK$29),COLUMN('1'!AA15)+ROW(A7)+65,1,1,"1"))="","",INDIRECT(ADDRESS(ROW('1'!AK$29),COLUMN('1'!AA15)+ROW(A6)+65,1,1,"1")))</f>
        <v/>
      </c>
      <c r="D251" s="150">
        <f>'1'!$CN$29*ROW(A6)/12</f>
        <v>-1063772.4670000002</v>
      </c>
      <c r="E251" s="150">
        <f>'1'!$CS$29*ROW(A6)/12</f>
        <v>-1239023.8834999986</v>
      </c>
      <c r="F251" s="150" t="str">
        <f t="shared" ca="1" si="13"/>
        <v/>
      </c>
      <c r="G251" s="137"/>
      <c r="H251" s="43"/>
      <c r="I251" s="43"/>
      <c r="J251" s="43"/>
      <c r="K251" s="43"/>
      <c r="L251" s="43"/>
      <c r="M251" s="43"/>
      <c r="N251" s="43"/>
      <c r="O251" s="251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</row>
    <row r="252" spans="1:51" s="33" customFormat="1" ht="13.8">
      <c r="A252" s="146" t="s">
        <v>209</v>
      </c>
      <c r="B252" s="150">
        <f ca="1">IF(INDIRECT(ADDRESS(ROW('1'!AK$29),COLUMN('1'!AA16)+ROW(A8)+52,1,1,"1"))="","",INDIRECT(ADDRESS(ROW('1'!AK$29),COLUMN('1'!AA16)+ROW(A7)+52,1,1,"1")))</f>
        <v>212775.44700000063</v>
      </c>
      <c r="C252" s="150" t="str">
        <f ca="1">IF(INDIRECT(ADDRESS(ROW('1'!AK$29),COLUMN('1'!AA16)+ROW(A8)+65,1,1,"1"))="","",INDIRECT(ADDRESS(ROW('1'!AK$29),COLUMN('1'!AA16)+ROW(A7)+65,1,1,"1")))</f>
        <v/>
      </c>
      <c r="D252" s="150">
        <f>'1'!$CN$29*ROW(A7)/12</f>
        <v>-1241067.878166667</v>
      </c>
      <c r="E252" s="150">
        <f>'1'!$CS$29*ROW(A7)/12</f>
        <v>-1445527.8640833318</v>
      </c>
      <c r="F252" s="150" t="str">
        <f t="shared" ca="1" si="13"/>
        <v/>
      </c>
      <c r="G252" s="137"/>
      <c r="H252" s="43"/>
      <c r="I252" s="43"/>
      <c r="J252" s="43"/>
      <c r="K252" s="43"/>
      <c r="L252" s="43"/>
      <c r="M252" s="43"/>
      <c r="N252" s="43"/>
      <c r="O252" s="251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</row>
    <row r="253" spans="1:51" s="33" customFormat="1" ht="13.8">
      <c r="A253" s="146" t="s">
        <v>210</v>
      </c>
      <c r="B253" s="150">
        <f ca="1">IF(INDIRECT(ADDRESS(ROW('1'!AK$29),COLUMN('1'!AA17)+ROW(A9)+52,1,1,"1"))="","",INDIRECT(ADDRESS(ROW('1'!AK$29),COLUMN('1'!AA17)+ROW(A8)+52,1,1,"1")))</f>
        <v>196913.57100000046</v>
      </c>
      <c r="C253" s="150" t="str">
        <f ca="1">IF(INDIRECT(ADDRESS(ROW('1'!AK$29),COLUMN('1'!AA17)+ROW(A9)+65,1,1,"1"))="","",INDIRECT(ADDRESS(ROW('1'!AK$29),COLUMN('1'!AA17)+ROW(A8)+65,1,1,"1")))</f>
        <v/>
      </c>
      <c r="D253" s="150">
        <f>'1'!$CN$29*ROW(A8)/12</f>
        <v>-1418363.2893333335</v>
      </c>
      <c r="E253" s="150">
        <f>'1'!$CS$29*ROW(A8)/12</f>
        <v>-1652031.8446666647</v>
      </c>
      <c r="F253" s="150" t="str">
        <f t="shared" ca="1" si="13"/>
        <v/>
      </c>
      <c r="G253" s="137"/>
      <c r="H253" s="43"/>
      <c r="I253" s="43"/>
      <c r="J253" s="43"/>
      <c r="K253" s="43"/>
      <c r="L253" s="43"/>
      <c r="M253" s="43"/>
      <c r="N253" s="43"/>
      <c r="O253" s="251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</row>
    <row r="254" spans="1:51" s="33" customFormat="1" ht="13.8">
      <c r="A254" s="146" t="s">
        <v>211</v>
      </c>
      <c r="B254" s="150">
        <f ca="1">IF(INDIRECT(ADDRESS(ROW('1'!AK$29),COLUMN('1'!AA18)+ROW(A10)+52,1,1,"1"))="","",INDIRECT(ADDRESS(ROW('1'!AK$29),COLUMN('1'!AA18)+ROW(A9)+52,1,1,"1")))</f>
        <v>121694.40899999999</v>
      </c>
      <c r="C254" s="150" t="str">
        <f ca="1">IF(INDIRECT(ADDRESS(ROW('1'!AK$29),COLUMN('1'!AA18)+ROW(A10)+65,1,1,"1"))="","",INDIRECT(ADDRESS(ROW('1'!AK$29),COLUMN('1'!AA18)+ROW(A9)+65,1,1,"1")))</f>
        <v/>
      </c>
      <c r="D254" s="150">
        <f>'1'!$CN$29*ROW(A9)/12</f>
        <v>-1595658.7005000003</v>
      </c>
      <c r="E254" s="150">
        <f>'1'!$CS$29*ROW(A9)/12</f>
        <v>-1858535.8252499979</v>
      </c>
      <c r="F254" s="150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  <c r="O254" s="251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</row>
    <row r="255" spans="1:51" s="33" customFormat="1" ht="13.8">
      <c r="A255" s="146" t="s">
        <v>212</v>
      </c>
      <c r="B255" s="150">
        <f ca="1">IF(INDIRECT(ADDRESS(ROW('1'!AK$29),COLUMN('1'!AA19)+ROW(A11)+52,1,1,"1"))="","",INDIRECT(ADDRESS(ROW('1'!AK$29),COLUMN('1'!AA19)+ROW(A10)+52,1,1,"1")))</f>
        <v>-197241.80599999987</v>
      </c>
      <c r="C255" s="150" t="str">
        <f ca="1">IF(INDIRECT(ADDRESS(ROW('1'!AK$29),COLUMN('1'!AA19)+ROW(A11)+65,1,1,"1"))="","",INDIRECT(ADDRESS(ROW('1'!AK$29),COLUMN('1'!AA19)+ROW(A10)+65,1,1,"1")))</f>
        <v/>
      </c>
      <c r="D255" s="150">
        <f>'1'!$CN$29*ROW(A10)/12</f>
        <v>-1772954.111666667</v>
      </c>
      <c r="E255" s="150">
        <f>'1'!$CS$29*ROW(A10)/12</f>
        <v>-2065039.8058333311</v>
      </c>
      <c r="F255" s="150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  <c r="O255" s="251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</row>
    <row r="256" spans="1:51" s="33" customFormat="1" ht="13.8">
      <c r="A256" s="146" t="s">
        <v>213</v>
      </c>
      <c r="B256" s="150">
        <f ca="1">IF(INDIRECT(ADDRESS(ROW('1'!AK$29),COLUMN('1'!AA20)+ROW(A12)+52,1,1,"1"))="","",INDIRECT(ADDRESS(ROW('1'!AK$29),COLUMN('1'!AA20)+ROW(A11)+52,1,1,"1")))</f>
        <v>-445419.16300000064</v>
      </c>
      <c r="C256" s="150" t="str">
        <f ca="1">IF(INDIRECT(ADDRESS(ROW('1'!AK$29),COLUMN('1'!AA20)+ROW(A12)+65,1,1,"1"))="","",INDIRECT(ADDRESS(ROW('1'!AK$29),COLUMN('1'!AA20)+ROW(A11)+65,1,1,"1")))</f>
        <v/>
      </c>
      <c r="D256" s="150">
        <f>'1'!$CN$29*ROW(A11)/12</f>
        <v>-1950249.5228333336</v>
      </c>
      <c r="E256" s="150">
        <f>'1'!$CS$29*ROW(A11)/12</f>
        <v>-2271543.7864166643</v>
      </c>
      <c r="F256" s="150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  <c r="O256" s="251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</row>
    <row r="257" spans="1:51" s="33" customFormat="1" ht="13.8">
      <c r="A257" s="146" t="s">
        <v>214</v>
      </c>
      <c r="B257" s="150">
        <f ca="1">IF(INDIRECT(ADDRESS(ROW('1'!AK$29),COLUMN('1'!AA21)+ROW(A13)+52,1,1,"1"))="","",INDIRECT(ADDRESS(ROW('1'!AK$29),COLUMN('1'!AA21)+ROW(A12)+52,1,1,"1")))</f>
        <v>-1082619.3420000002</v>
      </c>
      <c r="C257" s="150" t="str">
        <f ca="1">IF(INDIRECT(ADDRESS(ROW('1'!AK$29),COLUMN('1'!AA21)+ROW(A13)+65,1,1,"1"))="","",INDIRECT(ADDRESS(ROW('1'!AK$29),COLUMN('1'!AA21)+ROW(A12)+65,1,1,"1")))</f>
        <v/>
      </c>
      <c r="D257" s="150">
        <f>'1'!$CN$29*ROW(A12)/12</f>
        <v>-2127544.9340000004</v>
      </c>
      <c r="E257" s="150">
        <f>'1'!$CS$29*ROW(A12)/12</f>
        <v>-2478047.7669999972</v>
      </c>
      <c r="F257" s="150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  <c r="O257" s="251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</row>
    <row r="258" spans="1:51" s="33" customFormat="1" ht="13.8">
      <c r="A258" s="137"/>
      <c r="B258" s="137"/>
      <c r="C258" s="137"/>
      <c r="D258" s="137"/>
      <c r="E258" s="137"/>
      <c r="F258" s="137"/>
      <c r="G258" s="137"/>
      <c r="H258" s="43"/>
      <c r="I258" s="43"/>
      <c r="J258" s="43"/>
      <c r="K258" s="43"/>
      <c r="L258" s="43"/>
      <c r="M258" s="43"/>
      <c r="N258" s="43"/>
      <c r="O258" s="251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</row>
    <row r="259" spans="1:51" s="33" customFormat="1" ht="13.8">
      <c r="A259" s="137"/>
      <c r="B259" s="137"/>
      <c r="C259" s="137"/>
      <c r="D259" s="137"/>
      <c r="E259" s="137"/>
      <c r="F259" s="137"/>
      <c r="G259" s="137"/>
      <c r="H259" s="43"/>
      <c r="I259" s="43"/>
      <c r="J259" s="43"/>
      <c r="K259" s="43"/>
      <c r="L259" s="43"/>
      <c r="M259" s="43"/>
      <c r="N259" s="43"/>
      <c r="O259" s="251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</row>
    <row r="260" spans="1:51" s="33" customFormat="1" ht="13.8">
      <c r="A260" s="137"/>
      <c r="B260" s="137"/>
      <c r="C260" s="137"/>
      <c r="D260" s="137"/>
      <c r="E260" s="137"/>
      <c r="F260" s="137"/>
      <c r="G260" s="137"/>
      <c r="H260" s="43"/>
      <c r="I260" s="43"/>
      <c r="J260" s="43"/>
      <c r="K260" s="43"/>
      <c r="L260" s="43"/>
      <c r="M260" s="43"/>
      <c r="N260" s="43"/>
      <c r="O260" s="251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</row>
    <row r="261" spans="1:51" s="33" customFormat="1" ht="13.8">
      <c r="A261" s="137"/>
      <c r="B261" s="137"/>
      <c r="C261" s="137"/>
      <c r="D261" s="137"/>
      <c r="E261" s="137"/>
      <c r="F261" s="137"/>
      <c r="G261" s="137"/>
      <c r="H261" s="43"/>
      <c r="I261" s="43"/>
      <c r="J261" s="43"/>
      <c r="K261" s="43"/>
      <c r="L261" s="43"/>
      <c r="M261" s="43"/>
      <c r="N261" s="43"/>
      <c r="O261" s="251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</row>
    <row r="262" spans="1:51" s="33" customFormat="1" ht="13.8">
      <c r="A262" s="137"/>
      <c r="B262" s="137"/>
      <c r="C262" s="137"/>
      <c r="D262" s="137"/>
      <c r="E262" s="137"/>
      <c r="F262" s="137"/>
      <c r="G262" s="137"/>
      <c r="H262" s="43"/>
      <c r="I262" s="43"/>
      <c r="J262" s="43"/>
      <c r="K262" s="43"/>
      <c r="L262" s="43"/>
      <c r="M262" s="43"/>
      <c r="N262" s="43"/>
      <c r="O262" s="251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</row>
    <row r="263" spans="1:51" s="33" customFormat="1" ht="13.8">
      <c r="A263" s="137"/>
      <c r="B263" s="137"/>
      <c r="C263" s="137"/>
      <c r="D263" s="137"/>
      <c r="E263" s="137"/>
      <c r="F263" s="137"/>
      <c r="G263" s="137"/>
      <c r="H263" s="43"/>
      <c r="I263" s="43"/>
      <c r="J263" s="43"/>
      <c r="K263" s="43"/>
      <c r="L263" s="43"/>
      <c r="M263" s="43"/>
      <c r="N263" s="43"/>
      <c r="O263" s="251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</row>
    <row r="264" spans="1:51" s="33" customFormat="1" ht="13.8">
      <c r="A264" s="137"/>
      <c r="B264" s="137"/>
      <c r="C264" s="137"/>
      <c r="D264" s="137"/>
      <c r="E264" s="137"/>
      <c r="F264" s="137"/>
      <c r="G264" s="137"/>
      <c r="H264" s="43"/>
      <c r="I264" s="43"/>
      <c r="J264" s="43"/>
      <c r="K264" s="43"/>
      <c r="L264" s="43"/>
      <c r="M264" s="43"/>
      <c r="N264" s="43"/>
      <c r="O264" s="251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</row>
    <row r="265" spans="1:51" s="33" customFormat="1" ht="13.8">
      <c r="A265" s="137"/>
      <c r="B265" s="137"/>
      <c r="C265" s="137"/>
      <c r="D265" s="137"/>
      <c r="E265" s="137"/>
      <c r="F265" s="137"/>
      <c r="G265" s="137"/>
      <c r="H265" s="43"/>
      <c r="I265" s="43"/>
      <c r="J265" s="43"/>
      <c r="K265" s="43"/>
      <c r="L265" s="43"/>
      <c r="M265" s="43"/>
      <c r="N265" s="43"/>
      <c r="O265" s="251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</row>
    <row r="266" spans="1:51" s="33" customFormat="1" ht="13.8">
      <c r="A266" s="137"/>
      <c r="B266" s="137"/>
      <c r="C266" s="137"/>
      <c r="D266" s="137"/>
      <c r="E266" s="137"/>
      <c r="F266" s="137"/>
      <c r="G266" s="137"/>
      <c r="H266" s="43"/>
      <c r="I266" s="43"/>
      <c r="J266" s="43"/>
      <c r="K266" s="43"/>
      <c r="L266" s="43"/>
      <c r="M266" s="43"/>
      <c r="N266" s="43"/>
      <c r="O266" s="251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</row>
    <row r="267" spans="1:51" s="33" customFormat="1" ht="13.8">
      <c r="A267" s="137"/>
      <c r="B267" s="137"/>
      <c r="C267" s="137"/>
      <c r="D267" s="137"/>
      <c r="E267" s="137"/>
      <c r="F267" s="137"/>
      <c r="G267" s="137"/>
      <c r="H267" s="43"/>
      <c r="I267" s="43"/>
      <c r="J267" s="43"/>
      <c r="K267" s="43"/>
      <c r="L267" s="43"/>
      <c r="M267" s="43"/>
      <c r="N267" s="43"/>
      <c r="O267" s="251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</row>
    <row r="268" spans="1:51" s="33" customFormat="1" ht="13.8">
      <c r="A268" s="137"/>
      <c r="B268" s="137"/>
      <c r="C268" s="137"/>
      <c r="D268" s="137"/>
      <c r="E268" s="137"/>
      <c r="F268" s="137"/>
      <c r="G268" s="137"/>
      <c r="H268" s="43"/>
      <c r="I268" s="43"/>
      <c r="J268" s="43"/>
      <c r="K268" s="43"/>
      <c r="L268" s="43"/>
      <c r="M268" s="43"/>
      <c r="N268" s="43"/>
      <c r="O268" s="251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</row>
    <row r="269" spans="1:51" s="33" customFormat="1" ht="13.8">
      <c r="A269" s="137"/>
      <c r="B269" s="137"/>
      <c r="C269" s="137"/>
      <c r="D269" s="137"/>
      <c r="E269" s="137"/>
      <c r="F269" s="137"/>
      <c r="G269" s="137"/>
      <c r="H269" s="43"/>
      <c r="I269" s="43"/>
      <c r="J269" s="43"/>
      <c r="K269" s="43"/>
      <c r="L269" s="43"/>
      <c r="M269" s="43"/>
      <c r="N269" s="43"/>
      <c r="O269" s="251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</row>
    <row r="270" spans="1:51" s="33" customFormat="1" ht="13.8">
      <c r="A270" s="137"/>
      <c r="B270" s="137"/>
      <c r="C270" s="137"/>
      <c r="D270" s="137"/>
      <c r="E270" s="137"/>
      <c r="F270" s="137"/>
      <c r="G270" s="137"/>
      <c r="H270" s="43"/>
      <c r="I270" s="43"/>
      <c r="J270" s="43"/>
      <c r="K270" s="43"/>
      <c r="L270" s="43"/>
      <c r="M270" s="43"/>
      <c r="N270" s="43"/>
      <c r="O270" s="251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</row>
    <row r="271" spans="1:51" s="33" customFormat="1" ht="13.8">
      <c r="A271" s="137"/>
      <c r="B271" s="137"/>
      <c r="C271" s="137"/>
      <c r="D271" s="137"/>
      <c r="E271" s="137"/>
      <c r="F271" s="137"/>
      <c r="G271" s="137"/>
      <c r="H271" s="43"/>
      <c r="I271" s="43"/>
      <c r="J271" s="43"/>
      <c r="K271" s="43"/>
      <c r="L271" s="43"/>
      <c r="M271" s="43"/>
      <c r="N271" s="43"/>
      <c r="O271" s="251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</row>
    <row r="272" spans="1:51" s="33" customFormat="1" ht="13.8">
      <c r="A272" s="137"/>
      <c r="B272" s="137"/>
      <c r="C272" s="137"/>
      <c r="D272" s="137"/>
      <c r="E272" s="137"/>
      <c r="F272" s="137"/>
      <c r="G272" s="137"/>
      <c r="H272" s="43"/>
      <c r="I272" s="43"/>
      <c r="J272" s="43"/>
      <c r="K272" s="43"/>
      <c r="L272" s="43"/>
      <c r="M272" s="43"/>
      <c r="N272" s="43"/>
      <c r="O272" s="251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</row>
    <row r="273" spans="1:51" s="33" customFormat="1" ht="13.8">
      <c r="A273" s="137"/>
      <c r="B273" s="137"/>
      <c r="C273" s="137"/>
      <c r="D273" s="137"/>
      <c r="E273" s="137"/>
      <c r="F273" s="137"/>
      <c r="G273" s="137"/>
      <c r="H273" s="43"/>
      <c r="I273" s="43"/>
      <c r="J273" s="43"/>
      <c r="K273" s="43"/>
      <c r="L273" s="43"/>
      <c r="M273" s="43"/>
      <c r="N273" s="43"/>
      <c r="O273" s="251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</row>
    <row r="274" spans="1:51" s="33" customFormat="1" ht="13.8">
      <c r="A274" s="137"/>
      <c r="B274" s="137"/>
      <c r="C274" s="137"/>
      <c r="D274" s="137"/>
      <c r="E274" s="137"/>
      <c r="F274" s="137"/>
      <c r="G274" s="137"/>
      <c r="H274" s="43"/>
      <c r="I274" s="43"/>
      <c r="J274" s="43"/>
      <c r="K274" s="43"/>
      <c r="L274" s="43"/>
      <c r="M274" s="43"/>
      <c r="N274" s="43"/>
      <c r="O274" s="251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</row>
    <row r="275" spans="1:51" s="33" customFormat="1" ht="13.8">
      <c r="A275" s="137"/>
      <c r="B275" s="137"/>
      <c r="C275" s="137"/>
      <c r="D275" s="137"/>
      <c r="E275" s="137"/>
      <c r="F275" s="137"/>
      <c r="G275" s="137"/>
      <c r="H275" s="43"/>
      <c r="I275" s="43"/>
      <c r="J275" s="43"/>
      <c r="K275" s="43"/>
      <c r="L275" s="43"/>
      <c r="M275" s="43"/>
      <c r="N275" s="43"/>
      <c r="O275" s="251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</row>
    <row r="276" spans="1:51" s="33" customFormat="1" ht="13.8">
      <c r="A276" s="137"/>
      <c r="B276" s="137"/>
      <c r="C276" s="137"/>
      <c r="D276" s="137"/>
      <c r="E276" s="137"/>
      <c r="F276" s="137"/>
      <c r="G276" s="137"/>
      <c r="H276" s="43"/>
      <c r="I276" s="43"/>
      <c r="J276" s="43"/>
      <c r="K276" s="43"/>
      <c r="L276" s="43"/>
      <c r="M276" s="43"/>
      <c r="N276" s="43"/>
      <c r="O276" s="251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</row>
    <row r="277" spans="1:51" s="33" customFormat="1" ht="13.8">
      <c r="A277" s="137"/>
      <c r="B277" s="137"/>
      <c r="C277" s="137"/>
      <c r="D277" s="137"/>
      <c r="E277" s="137"/>
      <c r="F277" s="137"/>
      <c r="G277" s="137"/>
      <c r="H277" s="43"/>
      <c r="I277" s="43"/>
      <c r="J277" s="43"/>
      <c r="K277" s="43"/>
      <c r="L277" s="43"/>
      <c r="M277" s="43"/>
      <c r="N277" s="43"/>
      <c r="O277" s="251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</row>
    <row r="278" spans="1:51" s="33" customFormat="1" ht="13.8">
      <c r="A278" s="137"/>
      <c r="B278" s="137"/>
      <c r="C278" s="137"/>
      <c r="D278" s="137"/>
      <c r="E278" s="137"/>
      <c r="F278" s="137"/>
      <c r="G278" s="137"/>
      <c r="H278" s="43"/>
      <c r="I278" s="43"/>
      <c r="J278" s="43"/>
      <c r="K278" s="43"/>
      <c r="L278" s="43"/>
      <c r="M278" s="43"/>
      <c r="N278" s="43"/>
      <c r="O278" s="251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</row>
    <row r="279" spans="1:51" s="33" customFormat="1" ht="13.8">
      <c r="A279" s="137"/>
      <c r="B279" s="137"/>
      <c r="C279" s="137"/>
      <c r="D279" s="137"/>
      <c r="E279" s="137"/>
      <c r="F279" s="137"/>
      <c r="G279" s="137"/>
      <c r="H279" s="43"/>
      <c r="I279" s="43"/>
      <c r="J279" s="43"/>
      <c r="K279" s="43"/>
      <c r="L279" s="43"/>
      <c r="M279" s="43"/>
      <c r="N279" s="43"/>
      <c r="O279" s="251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</row>
    <row r="280" spans="1:51" s="33" customFormat="1" ht="13.8">
      <c r="A280" s="137"/>
      <c r="B280" s="137"/>
      <c r="C280" s="137"/>
      <c r="D280" s="137"/>
      <c r="E280" s="137"/>
      <c r="F280" s="137"/>
      <c r="G280" s="137"/>
      <c r="H280" s="43"/>
      <c r="I280" s="43"/>
      <c r="J280" s="43"/>
      <c r="K280" s="43"/>
      <c r="L280" s="43"/>
      <c r="M280" s="43"/>
      <c r="N280" s="43"/>
      <c r="O280" s="251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</row>
    <row r="281" spans="1:51" s="33" customFormat="1" ht="13.8">
      <c r="A281" s="339" t="s">
        <v>98</v>
      </c>
      <c r="B281" s="340"/>
      <c r="C281" s="340"/>
      <c r="D281" s="340"/>
      <c r="E281" s="340"/>
      <c r="F281" s="341"/>
      <c r="G281" s="137"/>
      <c r="H281" s="43"/>
      <c r="I281" s="43"/>
      <c r="J281" s="43"/>
      <c r="K281" s="43"/>
      <c r="L281" s="43"/>
      <c r="M281" s="43"/>
      <c r="N281" s="43"/>
      <c r="O281" s="251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</row>
    <row r="282" spans="1:51" s="33" customFormat="1" ht="13.8">
      <c r="A282" s="138" t="s">
        <v>38</v>
      </c>
      <c r="B282" s="337" t="s">
        <v>27</v>
      </c>
      <c r="C282" s="338"/>
      <c r="D282" s="337" t="s">
        <v>68</v>
      </c>
      <c r="E282" s="338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  <c r="O282" s="251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</row>
    <row r="283" spans="1:51" s="33" customFormat="1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  <c r="O283" s="251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</row>
    <row r="284" spans="1:51" s="33" customFormat="1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  <c r="O284" s="251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51" s="33" customFormat="1" ht="13.8">
      <c r="A285" s="144"/>
      <c r="B285" s="138">
        <v>2024</v>
      </c>
      <c r="C285" s="138">
        <v>2025</v>
      </c>
      <c r="D285" s="138" t="s">
        <v>141</v>
      </c>
      <c r="E285" s="138" t="s">
        <v>237</v>
      </c>
      <c r="F285" s="145"/>
      <c r="G285" s="137"/>
      <c r="H285" s="120" t="str">
        <f t="shared" ref="H285:O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fakts</v>
      </c>
      <c r="O285" s="120" t="str">
        <f t="shared" si="14"/>
        <v>2025 prognoze</v>
      </c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51" s="33" customFormat="1" ht="13.8">
      <c r="A286" s="146" t="s">
        <v>203</v>
      </c>
      <c r="B286" s="147">
        <f ca="1">IFERROR(B246/N286*100,"")</f>
        <v>0.27849812083986053</v>
      </c>
      <c r="C286" s="147">
        <f ca="1">IFERROR(C246/O286*100,"")</f>
        <v>-0.30030721958059203</v>
      </c>
      <c r="D286" s="147">
        <f>IFERROR(D246/N286*100,"")</f>
        <v>-0.44094135573569049</v>
      </c>
      <c r="E286" s="147">
        <f>IFERROR(E246/O286*100,"")</f>
        <v>-0.49218378494320664</v>
      </c>
      <c r="F286" s="147">
        <f ca="1">IFERROR(C286-E286,"")</f>
        <v>0.1918765653626146</v>
      </c>
      <c r="G286" s="137"/>
      <c r="H286" s="120">
        <f t="shared" ref="H286:H297" si="15">C561</f>
        <v>32285300</v>
      </c>
      <c r="I286" s="120">
        <f t="shared" ref="I286:I297" si="16">D561</f>
        <v>32283779</v>
      </c>
      <c r="J286" s="120">
        <f t="shared" ref="J286:J297" si="17">E561</f>
        <v>36103656</v>
      </c>
      <c r="K286" s="120">
        <f t="shared" ref="K286:K297" si="18">F561</f>
        <v>36099675</v>
      </c>
      <c r="L286" s="120">
        <f t="shared" ref="L286:L297" si="19">G561</f>
        <v>39072483</v>
      </c>
      <c r="M286" s="120">
        <f t="shared" ref="M286:M297" si="20">H561</f>
        <v>39372411</v>
      </c>
      <c r="N286" s="120">
        <f t="shared" si="14"/>
        <v>40208388</v>
      </c>
      <c r="O286" s="120">
        <f t="shared" si="14"/>
        <v>41956681.000200301</v>
      </c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51" s="33" customFormat="1" ht="13.8">
      <c r="A287" s="146" t="s">
        <v>204</v>
      </c>
      <c r="B287" s="147">
        <f t="shared" ref="B287:B297" ca="1" si="21">IFERROR(B247/N287*100,"")</f>
        <v>-5.53895122579895E-2</v>
      </c>
      <c r="C287" s="147">
        <f t="shared" ref="C287:C297" ca="1" si="22">IFERROR(C247/O287*100,"")</f>
        <v>-0.65085875805737914</v>
      </c>
      <c r="D287" s="147">
        <f t="shared" ref="D287:D297" si="23">IFERROR(D247/N287*100,"")</f>
        <v>-0.88188271147138098</v>
      </c>
      <c r="E287" s="147">
        <f t="shared" ref="E287:E297" si="24">IFERROR(E247/O287*100,"")</f>
        <v>-0.98436756988641327</v>
      </c>
      <c r="F287" s="147">
        <f t="shared" ref="F287:F297" ca="1" si="25">IFERROR(C287-E287,"")</f>
        <v>0.33350881182903414</v>
      </c>
      <c r="G287" s="137"/>
      <c r="H287" s="120">
        <f t="shared" si="15"/>
        <v>32285300</v>
      </c>
      <c r="I287" s="120">
        <f t="shared" si="16"/>
        <v>32283779</v>
      </c>
      <c r="J287" s="120">
        <f t="shared" si="17"/>
        <v>36103656</v>
      </c>
      <c r="K287" s="120">
        <f t="shared" si="18"/>
        <v>36099675</v>
      </c>
      <c r="L287" s="120">
        <f t="shared" si="19"/>
        <v>39072483</v>
      </c>
      <c r="M287" s="120">
        <f t="shared" si="20"/>
        <v>39372411</v>
      </c>
      <c r="N287" s="120">
        <f t="shared" si="14"/>
        <v>40208388</v>
      </c>
      <c r="O287" s="120">
        <f t="shared" si="14"/>
        <v>41956681.000200301</v>
      </c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</row>
    <row r="288" spans="1:51" s="33" customFormat="1" ht="13.8">
      <c r="A288" s="146" t="s">
        <v>205</v>
      </c>
      <c r="B288" s="147">
        <f t="shared" ca="1" si="21"/>
        <v>-0.31356543564989436</v>
      </c>
      <c r="C288" s="147">
        <f t="shared" ca="1" si="22"/>
        <v>-1.8287677455381568</v>
      </c>
      <c r="D288" s="147">
        <f t="shared" si="23"/>
        <v>-1.3228240672070715</v>
      </c>
      <c r="E288" s="147">
        <f t="shared" si="24"/>
        <v>-1.4765513548296199</v>
      </c>
      <c r="F288" s="147">
        <f t="shared" ca="1" si="25"/>
        <v>-0.35221639070853694</v>
      </c>
      <c r="G288" s="137"/>
      <c r="H288" s="120">
        <f t="shared" si="15"/>
        <v>32285300</v>
      </c>
      <c r="I288" s="120">
        <f t="shared" si="16"/>
        <v>32283779</v>
      </c>
      <c r="J288" s="120">
        <f t="shared" si="17"/>
        <v>36103656</v>
      </c>
      <c r="K288" s="120">
        <f t="shared" si="18"/>
        <v>36099675</v>
      </c>
      <c r="L288" s="120">
        <f t="shared" si="19"/>
        <v>39072483</v>
      </c>
      <c r="M288" s="120">
        <f t="shared" si="20"/>
        <v>39372411</v>
      </c>
      <c r="N288" s="120">
        <f t="shared" si="14"/>
        <v>40208388</v>
      </c>
      <c r="O288" s="120">
        <f t="shared" si="14"/>
        <v>41956681.000200301</v>
      </c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</row>
    <row r="289" spans="1:51" s="33" customFormat="1" ht="13.8">
      <c r="A289" s="146" t="s">
        <v>206</v>
      </c>
      <c r="B289" s="147">
        <f t="shared" ca="1" si="21"/>
        <v>-0.92949189358200679</v>
      </c>
      <c r="C289" s="147">
        <f t="shared" ca="1" si="22"/>
        <v>-2.3481819338743604</v>
      </c>
      <c r="D289" s="147">
        <f t="shared" si="23"/>
        <v>-1.763765422942762</v>
      </c>
      <c r="E289" s="147">
        <f t="shared" si="24"/>
        <v>-1.9687351397728265</v>
      </c>
      <c r="F289" s="147">
        <f t="shared" ca="1" si="25"/>
        <v>-0.37944679410153381</v>
      </c>
      <c r="G289" s="137"/>
      <c r="H289" s="120">
        <f t="shared" si="15"/>
        <v>32285300</v>
      </c>
      <c r="I289" s="120">
        <f t="shared" si="16"/>
        <v>32283779</v>
      </c>
      <c r="J289" s="120">
        <f t="shared" si="17"/>
        <v>36103656</v>
      </c>
      <c r="K289" s="120">
        <f t="shared" si="18"/>
        <v>36099675</v>
      </c>
      <c r="L289" s="120">
        <f t="shared" si="19"/>
        <v>39072483</v>
      </c>
      <c r="M289" s="120">
        <f t="shared" si="20"/>
        <v>39372411</v>
      </c>
      <c r="N289" s="120">
        <f t="shared" si="14"/>
        <v>40208388</v>
      </c>
      <c r="O289" s="120">
        <f t="shared" si="14"/>
        <v>41956681.000200301</v>
      </c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</row>
    <row r="290" spans="1:51" s="33" customFormat="1" ht="13.8">
      <c r="A290" s="146" t="s">
        <v>207</v>
      </c>
      <c r="B290" s="147">
        <f t="shared" ca="1" si="21"/>
        <v>-0.11101882273917733</v>
      </c>
      <c r="C290" s="147" t="str">
        <f t="shared" ca="1" si="22"/>
        <v/>
      </c>
      <c r="D290" s="147">
        <f t="shared" si="23"/>
        <v>-2.2047067786784527</v>
      </c>
      <c r="E290" s="147">
        <f t="shared" si="24"/>
        <v>-2.4609189247160335</v>
      </c>
      <c r="F290" s="147" t="str">
        <f t="shared" ca="1" si="25"/>
        <v/>
      </c>
      <c r="G290" s="137"/>
      <c r="H290" s="120">
        <f t="shared" si="15"/>
        <v>32285300</v>
      </c>
      <c r="I290" s="120">
        <f t="shared" si="16"/>
        <v>32283779</v>
      </c>
      <c r="J290" s="120">
        <f t="shared" si="17"/>
        <v>36103656</v>
      </c>
      <c r="K290" s="120">
        <f t="shared" si="18"/>
        <v>36099675</v>
      </c>
      <c r="L290" s="120">
        <f t="shared" si="19"/>
        <v>39072483</v>
      </c>
      <c r="M290" s="120">
        <f t="shared" si="20"/>
        <v>39372411</v>
      </c>
      <c r="N290" s="120">
        <f t="shared" si="14"/>
        <v>40208388</v>
      </c>
      <c r="O290" s="120">
        <f t="shared" si="14"/>
        <v>41956681.000200301</v>
      </c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51" s="33" customFormat="1" ht="13.8">
      <c r="A291" s="146" t="s">
        <v>208</v>
      </c>
      <c r="B291" s="147">
        <f t="shared" ca="1" si="21"/>
        <v>0.6377510433892547</v>
      </c>
      <c r="C291" s="147" t="str">
        <f t="shared" ca="1" si="22"/>
        <v/>
      </c>
      <c r="D291" s="147">
        <f t="shared" si="23"/>
        <v>-2.6456481344141429</v>
      </c>
      <c r="E291" s="147">
        <f t="shared" si="24"/>
        <v>-2.9531027096592397</v>
      </c>
      <c r="F291" s="147" t="str">
        <f t="shared" ca="1" si="25"/>
        <v/>
      </c>
      <c r="G291" s="137"/>
      <c r="H291" s="120">
        <f t="shared" si="15"/>
        <v>32285300</v>
      </c>
      <c r="I291" s="120">
        <f t="shared" si="16"/>
        <v>32283779</v>
      </c>
      <c r="J291" s="120">
        <f t="shared" si="17"/>
        <v>36103656</v>
      </c>
      <c r="K291" s="120">
        <f t="shared" si="18"/>
        <v>36099675</v>
      </c>
      <c r="L291" s="120">
        <f t="shared" si="19"/>
        <v>39072483</v>
      </c>
      <c r="M291" s="120">
        <f t="shared" si="20"/>
        <v>39372411</v>
      </c>
      <c r="N291" s="120">
        <f t="shared" si="14"/>
        <v>40208388</v>
      </c>
      <c r="O291" s="120">
        <f t="shared" si="14"/>
        <v>41956681.000200301</v>
      </c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51" s="33" customFormat="1" ht="13.8">
      <c r="A292" s="146" t="s">
        <v>209</v>
      </c>
      <c r="B292" s="147">
        <f t="shared" ca="1" si="21"/>
        <v>0.52918173939228963</v>
      </c>
      <c r="C292" s="147" t="str">
        <f t="shared" ca="1" si="22"/>
        <v/>
      </c>
      <c r="D292" s="147">
        <f t="shared" si="23"/>
        <v>-3.0865894901498341</v>
      </c>
      <c r="E292" s="147">
        <f t="shared" si="24"/>
        <v>-3.4452864946024468</v>
      </c>
      <c r="F292" s="147" t="str">
        <f t="shared" ca="1" si="25"/>
        <v/>
      </c>
      <c r="G292" s="137"/>
      <c r="H292" s="120">
        <f t="shared" si="15"/>
        <v>32285300</v>
      </c>
      <c r="I292" s="120">
        <f t="shared" si="16"/>
        <v>32283779</v>
      </c>
      <c r="J292" s="120">
        <f t="shared" si="17"/>
        <v>36103656</v>
      </c>
      <c r="K292" s="120">
        <f t="shared" si="18"/>
        <v>36099675</v>
      </c>
      <c r="L292" s="120">
        <f t="shared" si="19"/>
        <v>39072483</v>
      </c>
      <c r="M292" s="120">
        <f t="shared" si="20"/>
        <v>39372411</v>
      </c>
      <c r="N292" s="120">
        <f t="shared" si="14"/>
        <v>40208388</v>
      </c>
      <c r="O292" s="120">
        <f t="shared" si="14"/>
        <v>41956681.000200301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51" s="33" customFormat="1" ht="13.8">
      <c r="A293" s="146" t="s">
        <v>210</v>
      </c>
      <c r="B293" s="147">
        <f t="shared" ca="1" si="21"/>
        <v>0.48973256774183654</v>
      </c>
      <c r="C293" s="147" t="str">
        <f t="shared" ca="1" si="22"/>
        <v/>
      </c>
      <c r="D293" s="147">
        <f t="shared" si="23"/>
        <v>-3.5275308458855239</v>
      </c>
      <c r="E293" s="147">
        <f t="shared" si="24"/>
        <v>-3.9374702795456531</v>
      </c>
      <c r="F293" s="147" t="str">
        <f ca="1">IFERROR(C293-E293,"")</f>
        <v/>
      </c>
      <c r="G293" s="137"/>
      <c r="H293" s="120">
        <f t="shared" si="15"/>
        <v>32285300</v>
      </c>
      <c r="I293" s="120">
        <f t="shared" si="16"/>
        <v>32283779</v>
      </c>
      <c r="J293" s="120">
        <f t="shared" si="17"/>
        <v>36103656</v>
      </c>
      <c r="K293" s="120">
        <f t="shared" si="18"/>
        <v>36099675</v>
      </c>
      <c r="L293" s="120">
        <f t="shared" si="19"/>
        <v>39072483</v>
      </c>
      <c r="M293" s="120">
        <f t="shared" si="20"/>
        <v>39372411</v>
      </c>
      <c r="N293" s="120">
        <f t="shared" si="14"/>
        <v>40208388</v>
      </c>
      <c r="O293" s="120">
        <f t="shared" si="14"/>
        <v>41956681.000200301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51" s="33" customFormat="1" ht="13.8">
      <c r="A294" s="146" t="s">
        <v>211</v>
      </c>
      <c r="B294" s="147">
        <f t="shared" ca="1" si="21"/>
        <v>0.30265925856067638</v>
      </c>
      <c r="C294" s="147" t="str">
        <f t="shared" ca="1" si="22"/>
        <v/>
      </c>
      <c r="D294" s="147">
        <f t="shared" si="23"/>
        <v>-3.9684722016212151</v>
      </c>
      <c r="E294" s="147">
        <f t="shared" si="24"/>
        <v>-4.4296540644888598</v>
      </c>
      <c r="F294" s="147" t="str">
        <f t="shared" ca="1" si="25"/>
        <v/>
      </c>
      <c r="G294" s="137"/>
      <c r="H294" s="120">
        <f t="shared" si="15"/>
        <v>32285300</v>
      </c>
      <c r="I294" s="120">
        <f t="shared" si="16"/>
        <v>32283779</v>
      </c>
      <c r="J294" s="120">
        <f t="shared" si="17"/>
        <v>36103656</v>
      </c>
      <c r="K294" s="120">
        <f t="shared" si="18"/>
        <v>36099675</v>
      </c>
      <c r="L294" s="120">
        <f t="shared" si="19"/>
        <v>39072483</v>
      </c>
      <c r="M294" s="120">
        <f t="shared" si="20"/>
        <v>39372411</v>
      </c>
      <c r="N294" s="120">
        <f t="shared" si="14"/>
        <v>40208388</v>
      </c>
      <c r="O294" s="120">
        <f t="shared" si="14"/>
        <v>41956681.000200301</v>
      </c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51" s="33" customFormat="1" ht="13.8">
      <c r="A295" s="146" t="s">
        <v>212</v>
      </c>
      <c r="B295" s="147">
        <f t="shared" ca="1" si="21"/>
        <v>-0.49054890238325366</v>
      </c>
      <c r="C295" s="147" t="str">
        <f t="shared" ca="1" si="22"/>
        <v/>
      </c>
      <c r="D295" s="147">
        <f t="shared" si="23"/>
        <v>-4.4094135573569053</v>
      </c>
      <c r="E295" s="147">
        <f t="shared" si="24"/>
        <v>-4.9218378494320669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32283779</v>
      </c>
      <c r="J295" s="120">
        <f t="shared" si="17"/>
        <v>36103656</v>
      </c>
      <c r="K295" s="120">
        <f t="shared" si="18"/>
        <v>36099675</v>
      </c>
      <c r="L295" s="120">
        <f t="shared" si="19"/>
        <v>39072483</v>
      </c>
      <c r="M295" s="120">
        <f t="shared" si="20"/>
        <v>39372411</v>
      </c>
      <c r="N295" s="120">
        <f t="shared" si="14"/>
        <v>40208388</v>
      </c>
      <c r="O295" s="120">
        <f t="shared" si="14"/>
        <v>41956681.000200301</v>
      </c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51" s="33" customFormat="1" ht="13.8">
      <c r="A296" s="146" t="s">
        <v>213</v>
      </c>
      <c r="B296" s="147">
        <f t="shared" ca="1" si="21"/>
        <v>-1.1077767231056381</v>
      </c>
      <c r="C296" s="147" t="str">
        <f t="shared" ca="1" si="22"/>
        <v/>
      </c>
      <c r="D296" s="147">
        <f t="shared" si="23"/>
        <v>-4.8503549130925956</v>
      </c>
      <c r="E296" s="147">
        <f t="shared" si="24"/>
        <v>-5.4140216343752741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32283779</v>
      </c>
      <c r="J296" s="120">
        <f t="shared" si="17"/>
        <v>36103656</v>
      </c>
      <c r="K296" s="120">
        <f t="shared" si="18"/>
        <v>36099675</v>
      </c>
      <c r="L296" s="120">
        <f t="shared" si="19"/>
        <v>39072483</v>
      </c>
      <c r="M296" s="120">
        <f t="shared" si="20"/>
        <v>39372411</v>
      </c>
      <c r="N296" s="120">
        <f t="shared" si="14"/>
        <v>40208388</v>
      </c>
      <c r="O296" s="120">
        <f t="shared" si="14"/>
        <v>41956681.000200301</v>
      </c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51" s="33" customFormat="1" ht="13.8">
      <c r="A297" s="146" t="s">
        <v>214</v>
      </c>
      <c r="B297" s="147">
        <f t="shared" ca="1" si="21"/>
        <v>-2.6925211276811201</v>
      </c>
      <c r="C297" s="147" t="str">
        <f t="shared" ca="1" si="22"/>
        <v/>
      </c>
      <c r="D297" s="147">
        <f t="shared" si="23"/>
        <v>-5.2912962688282859</v>
      </c>
      <c r="E297" s="147">
        <f t="shared" si="24"/>
        <v>-5.9062054193184794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32283779</v>
      </c>
      <c r="J297" s="120">
        <f t="shared" si="17"/>
        <v>36103656</v>
      </c>
      <c r="K297" s="120">
        <f t="shared" si="18"/>
        <v>36099675</v>
      </c>
      <c r="L297" s="120">
        <f t="shared" si="19"/>
        <v>39072483</v>
      </c>
      <c r="M297" s="120">
        <f t="shared" si="20"/>
        <v>39372411</v>
      </c>
      <c r="N297" s="120">
        <f t="shared" si="14"/>
        <v>40208388</v>
      </c>
      <c r="O297" s="120">
        <f t="shared" si="14"/>
        <v>41956681.000200301</v>
      </c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51" s="33" customFormat="1" ht="13.8">
      <c r="A298" s="137"/>
      <c r="B298" s="137"/>
      <c r="C298" s="137"/>
      <c r="D298" s="137"/>
      <c r="E298" s="137"/>
      <c r="F298" s="137"/>
      <c r="G298" s="137"/>
      <c r="H298" s="110"/>
      <c r="I298" s="110"/>
      <c r="J298" s="110"/>
      <c r="K298" s="110"/>
      <c r="L298" s="110"/>
      <c r="M298" s="110"/>
      <c r="N298" s="110"/>
      <c r="O298" s="251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51" s="33" customFormat="1" ht="13.8">
      <c r="A299" s="137"/>
      <c r="B299" s="137"/>
      <c r="C299" s="137"/>
      <c r="D299" s="137"/>
      <c r="E299" s="137"/>
      <c r="F299" s="137"/>
      <c r="G299" s="137"/>
      <c r="H299" s="43"/>
      <c r="I299" s="43"/>
      <c r="J299" s="43"/>
      <c r="K299" s="43"/>
      <c r="L299" s="43"/>
      <c r="M299" s="43"/>
      <c r="N299" s="43"/>
      <c r="O299" s="251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51" s="33" customFormat="1" ht="13.8">
      <c r="A300" s="137"/>
      <c r="B300" s="137"/>
      <c r="C300" s="137"/>
      <c r="D300" s="137"/>
      <c r="E300" s="137"/>
      <c r="F300" s="137"/>
      <c r="G300" s="137"/>
      <c r="H300" s="43"/>
      <c r="I300" s="43"/>
      <c r="J300" s="43"/>
      <c r="K300" s="43"/>
      <c r="L300" s="43"/>
      <c r="M300" s="43"/>
      <c r="N300" s="43"/>
      <c r="O300" s="251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51" s="33" customFormat="1" ht="13.8">
      <c r="A301" s="137"/>
      <c r="B301" s="137"/>
      <c r="C301" s="137"/>
      <c r="D301" s="137"/>
      <c r="E301" s="137"/>
      <c r="F301" s="137"/>
      <c r="G301" s="137"/>
      <c r="H301" s="43"/>
      <c r="I301" s="43"/>
      <c r="J301" s="43"/>
      <c r="K301" s="43"/>
      <c r="L301" s="43"/>
      <c r="M301" s="43"/>
      <c r="N301" s="43"/>
      <c r="O301" s="251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51" s="33" customFormat="1" ht="13.8">
      <c r="A302" s="137"/>
      <c r="B302" s="137"/>
      <c r="C302" s="137"/>
      <c r="D302" s="137"/>
      <c r="E302" s="137"/>
      <c r="F302" s="137"/>
      <c r="G302" s="137"/>
      <c r="H302" s="43"/>
      <c r="I302" s="43"/>
      <c r="J302" s="43"/>
      <c r="K302" s="43"/>
      <c r="L302" s="43"/>
      <c r="M302" s="43"/>
      <c r="N302" s="43"/>
      <c r="O302" s="251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51" s="33" customFormat="1" ht="13.8">
      <c r="A303" s="137"/>
      <c r="B303" s="137"/>
      <c r="C303" s="137"/>
      <c r="D303" s="137"/>
      <c r="E303" s="137"/>
      <c r="F303" s="137"/>
      <c r="G303" s="137"/>
      <c r="H303" s="43"/>
      <c r="I303" s="43"/>
      <c r="J303" s="43"/>
      <c r="K303" s="43"/>
      <c r="L303" s="43"/>
      <c r="M303" s="43"/>
      <c r="N303" s="43"/>
      <c r="O303" s="251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51" s="33" customFormat="1" ht="13.8">
      <c r="A304" s="137"/>
      <c r="B304" s="137"/>
      <c r="C304" s="137"/>
      <c r="D304" s="137"/>
      <c r="E304" s="137"/>
      <c r="F304" s="137"/>
      <c r="G304" s="137"/>
      <c r="H304" s="43"/>
      <c r="I304" s="43"/>
      <c r="J304" s="43"/>
      <c r="K304" s="43"/>
      <c r="L304" s="43"/>
      <c r="M304" s="43"/>
      <c r="N304" s="43"/>
      <c r="O304" s="251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1:51" s="33" customFormat="1" ht="13.8">
      <c r="A305" s="137"/>
      <c r="B305" s="137"/>
      <c r="C305" s="137"/>
      <c r="D305" s="137"/>
      <c r="E305" s="137"/>
      <c r="F305" s="137"/>
      <c r="G305" s="137"/>
      <c r="H305" s="43"/>
      <c r="I305" s="43"/>
      <c r="J305" s="43"/>
      <c r="K305" s="43"/>
      <c r="L305" s="43"/>
      <c r="M305" s="43"/>
      <c r="N305" s="43"/>
      <c r="O305" s="251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1:51" s="33" customFormat="1" ht="13.8">
      <c r="A306" s="137"/>
      <c r="B306" s="137"/>
      <c r="C306" s="137"/>
      <c r="D306" s="137"/>
      <c r="E306" s="137"/>
      <c r="F306" s="137"/>
      <c r="G306" s="137"/>
      <c r="H306" s="43"/>
      <c r="I306" s="43"/>
      <c r="J306" s="43"/>
      <c r="K306" s="43"/>
      <c r="L306" s="43"/>
      <c r="M306" s="43"/>
      <c r="N306" s="43"/>
      <c r="O306" s="251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1:51" s="33" customFormat="1" ht="13.8">
      <c r="A307" s="137"/>
      <c r="B307" s="137"/>
      <c r="C307" s="137"/>
      <c r="D307" s="137"/>
      <c r="E307" s="137"/>
      <c r="F307" s="137"/>
      <c r="G307" s="137"/>
      <c r="H307" s="43"/>
      <c r="I307" s="43"/>
      <c r="J307" s="43"/>
      <c r="K307" s="43"/>
      <c r="L307" s="43"/>
      <c r="M307" s="43"/>
      <c r="N307" s="43"/>
      <c r="O307" s="251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1:51" s="33" customFormat="1" ht="13.8">
      <c r="A308" s="137"/>
      <c r="B308" s="137"/>
      <c r="C308" s="137"/>
      <c r="D308" s="137"/>
      <c r="E308" s="137"/>
      <c r="F308" s="137"/>
      <c r="G308" s="137"/>
      <c r="H308" s="43"/>
      <c r="I308" s="43"/>
      <c r="J308" s="43"/>
      <c r="K308" s="43"/>
      <c r="L308" s="43"/>
      <c r="M308" s="43"/>
      <c r="N308" s="43"/>
      <c r="O308" s="251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1:51" s="33" customFormat="1" ht="13.8">
      <c r="A309" s="137"/>
      <c r="B309" s="137"/>
      <c r="C309" s="137"/>
      <c r="D309" s="137"/>
      <c r="E309" s="137"/>
      <c r="F309" s="137"/>
      <c r="G309" s="137"/>
      <c r="H309" s="43"/>
      <c r="I309" s="43"/>
      <c r="J309" s="43"/>
      <c r="K309" s="43"/>
      <c r="L309" s="43"/>
      <c r="M309" s="43"/>
      <c r="N309" s="43"/>
      <c r="O309" s="251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1:51" s="33" customFormat="1" ht="13.8">
      <c r="A310" s="137"/>
      <c r="B310" s="137"/>
      <c r="C310" s="137"/>
      <c r="D310" s="137"/>
      <c r="E310" s="137"/>
      <c r="F310" s="137"/>
      <c r="G310" s="137"/>
      <c r="H310" s="43"/>
      <c r="I310" s="43"/>
      <c r="J310" s="43"/>
      <c r="K310" s="43"/>
      <c r="L310" s="43"/>
      <c r="M310" s="43"/>
      <c r="N310" s="43"/>
      <c r="O310" s="251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1:51" s="33" customFormat="1" ht="13.8">
      <c r="A311" s="137"/>
      <c r="B311" s="137"/>
      <c r="C311" s="137"/>
      <c r="D311" s="137"/>
      <c r="E311" s="137"/>
      <c r="F311" s="137"/>
      <c r="G311" s="137"/>
      <c r="H311" s="43"/>
      <c r="I311" s="43"/>
      <c r="J311" s="43"/>
      <c r="K311" s="43"/>
      <c r="L311" s="43"/>
      <c r="M311" s="43"/>
      <c r="N311" s="43"/>
      <c r="O311" s="251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1:51" s="33" customFormat="1" ht="13.8">
      <c r="A312" s="137"/>
      <c r="B312" s="137"/>
      <c r="C312" s="137"/>
      <c r="D312" s="137"/>
      <c r="E312" s="137"/>
      <c r="F312" s="137"/>
      <c r="G312" s="137"/>
      <c r="H312" s="43"/>
      <c r="I312" s="43"/>
      <c r="J312" s="43"/>
      <c r="K312" s="43"/>
      <c r="L312" s="43"/>
      <c r="M312" s="43"/>
      <c r="N312" s="43"/>
      <c r="O312" s="251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1:51" s="33" customFormat="1" ht="13.8">
      <c r="A313" s="137"/>
      <c r="B313" s="137"/>
      <c r="C313" s="137"/>
      <c r="D313" s="137"/>
      <c r="E313" s="137"/>
      <c r="F313" s="137"/>
      <c r="G313" s="137"/>
      <c r="H313" s="43"/>
      <c r="I313" s="43"/>
      <c r="J313" s="43"/>
      <c r="K313" s="43"/>
      <c r="L313" s="43"/>
      <c r="M313" s="43"/>
      <c r="N313" s="43"/>
      <c r="O313" s="251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1:51" s="33" customFormat="1" ht="13.8">
      <c r="A314" s="137"/>
      <c r="B314" s="137"/>
      <c r="C314" s="137"/>
      <c r="D314" s="137"/>
      <c r="E314" s="137"/>
      <c r="F314" s="137"/>
      <c r="G314" s="137"/>
      <c r="H314" s="43"/>
      <c r="I314" s="43"/>
      <c r="J314" s="43"/>
      <c r="K314" s="43"/>
      <c r="L314" s="43"/>
      <c r="M314" s="43"/>
      <c r="N314" s="43"/>
      <c r="O314" s="251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1:51" s="33" customFormat="1" ht="13.8">
      <c r="A315" s="137"/>
      <c r="B315" s="137"/>
      <c r="C315" s="137"/>
      <c r="D315" s="137"/>
      <c r="E315" s="137"/>
      <c r="F315" s="137"/>
      <c r="G315" s="137"/>
      <c r="H315" s="43"/>
      <c r="I315" s="43"/>
      <c r="J315" s="43"/>
      <c r="K315" s="43"/>
      <c r="L315" s="43"/>
      <c r="M315" s="43"/>
      <c r="N315" s="43"/>
      <c r="O315" s="251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1:51" s="33" customFormat="1" ht="13.8">
      <c r="A316" s="137"/>
      <c r="B316" s="137"/>
      <c r="C316" s="137"/>
      <c r="D316" s="137"/>
      <c r="E316" s="137"/>
      <c r="F316" s="137"/>
      <c r="G316" s="137"/>
      <c r="H316" s="43"/>
      <c r="I316" s="43"/>
      <c r="J316" s="43"/>
      <c r="K316" s="43"/>
      <c r="L316" s="43"/>
      <c r="M316" s="43"/>
      <c r="N316" s="43"/>
      <c r="O316" s="251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1:51" s="33" customFormat="1" ht="13.8">
      <c r="A317" s="137"/>
      <c r="B317" s="137"/>
      <c r="C317" s="137"/>
      <c r="D317" s="137"/>
      <c r="E317" s="137"/>
      <c r="F317" s="137"/>
      <c r="G317" s="137"/>
      <c r="H317" s="43"/>
      <c r="I317" s="43"/>
      <c r="J317" s="43"/>
      <c r="K317" s="43"/>
      <c r="L317" s="43"/>
      <c r="M317" s="43"/>
      <c r="N317" s="43"/>
      <c r="O317" s="251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1:51" s="33" customFormat="1" ht="13.8">
      <c r="A318" s="137"/>
      <c r="B318" s="137"/>
      <c r="C318" s="137"/>
      <c r="D318" s="137"/>
      <c r="E318" s="137"/>
      <c r="F318" s="137"/>
      <c r="G318" s="137"/>
      <c r="H318" s="43"/>
      <c r="I318" s="43"/>
      <c r="J318" s="43"/>
      <c r="K318" s="43"/>
      <c r="L318" s="43"/>
      <c r="M318" s="43"/>
      <c r="N318" s="43"/>
      <c r="O318" s="251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1:51" s="33" customFormat="1" ht="13.8">
      <c r="A319" s="137"/>
      <c r="B319" s="137"/>
      <c r="C319" s="137"/>
      <c r="D319" s="137"/>
      <c r="E319" s="137"/>
      <c r="F319" s="137"/>
      <c r="G319" s="137"/>
      <c r="H319" s="43"/>
      <c r="I319" s="43"/>
      <c r="J319" s="43"/>
      <c r="K319" s="43"/>
      <c r="L319" s="43"/>
      <c r="M319" s="43"/>
      <c r="N319" s="43"/>
      <c r="O319" s="251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1:51" s="33" customFormat="1" ht="13.8">
      <c r="A320" s="137"/>
      <c r="B320" s="137"/>
      <c r="C320" s="137"/>
      <c r="D320" s="137"/>
      <c r="E320" s="137"/>
      <c r="F320" s="137"/>
      <c r="G320" s="137"/>
      <c r="H320" s="43"/>
      <c r="I320" s="43"/>
      <c r="J320" s="43"/>
      <c r="K320" s="43"/>
      <c r="L320" s="43"/>
      <c r="M320" s="43"/>
      <c r="N320" s="43"/>
      <c r="O320" s="251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1:51" s="33" customFormat="1" ht="13.8">
      <c r="A321" s="339" t="s">
        <v>111</v>
      </c>
      <c r="B321" s="340"/>
      <c r="C321" s="340"/>
      <c r="D321" s="340"/>
      <c r="E321" s="340"/>
      <c r="F321" s="341"/>
      <c r="G321" s="137"/>
      <c r="H321" s="43"/>
      <c r="I321" s="43"/>
      <c r="J321" s="43"/>
      <c r="K321" s="43"/>
      <c r="L321" s="43"/>
      <c r="M321" s="43"/>
      <c r="N321" s="43"/>
      <c r="O321" s="251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1:51" s="33" customFormat="1" ht="13.8">
      <c r="A322" s="138" t="s">
        <v>38</v>
      </c>
      <c r="B322" s="337" t="s">
        <v>27</v>
      </c>
      <c r="C322" s="338"/>
      <c r="D322" s="337" t="s">
        <v>68</v>
      </c>
      <c r="E322" s="338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  <c r="O322" s="251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1:51" s="33" customFormat="1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  <c r="O323" s="251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1:51" s="33" customFormat="1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  <c r="O324" s="251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1:51" s="33" customFormat="1" ht="13.8">
      <c r="A325" s="144"/>
      <c r="B325" s="138">
        <v>2024</v>
      </c>
      <c r="C325" s="138">
        <v>2025</v>
      </c>
      <c r="D325" s="138" t="s">
        <v>141</v>
      </c>
      <c r="E325" s="138" t="s">
        <v>237</v>
      </c>
      <c r="F325" s="145"/>
      <c r="G325" s="137"/>
      <c r="H325" s="43"/>
      <c r="I325" s="43"/>
      <c r="J325" s="43"/>
      <c r="K325" s="43"/>
      <c r="L325" s="43"/>
      <c r="M325" s="43"/>
      <c r="N325" s="43"/>
      <c r="O325" s="251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1:51" s="33" customFormat="1" ht="13.8">
      <c r="A326" s="146" t="s">
        <v>203</v>
      </c>
      <c r="B326" s="150">
        <f ca="1">IF(INDIRECT(ADDRESS(ROW('1'!AK$32),COLUMN('1'!AA10)+ROW(A2)+52,1,1,"1"))="","",INDIRECT(ADDRESS(ROW('1'!AK$32),COLUMN('1'!AA10)+ROW(A1)+52,1,1,"1")))</f>
        <v>34837.439000000013</v>
      </c>
      <c r="C326" s="150">
        <f ca="1">IF(INDIRECT(ADDRESS(ROW('1'!AK$32),COLUMN('1'!AA10)+ROW(A2)+65,1,1,"1"))="","",INDIRECT(ADDRESS(ROW('1'!AK$32),COLUMN('1'!AA10)+ROW(A1)+65,1,1,"1")))</f>
        <v>82756.072209999897</v>
      </c>
      <c r="D326" s="150">
        <f>'1'!$CN$32*ROW(A1)/12</f>
        <v>34015.046500000019</v>
      </c>
      <c r="E326" s="150">
        <f>'1'!$CS$32*ROW(A1)/12</f>
        <v>38777.345000000052</v>
      </c>
      <c r="F326" s="150">
        <f ca="1">IFERROR(C326-E326,"")</f>
        <v>43978.727209999844</v>
      </c>
      <c r="G326" s="137"/>
      <c r="H326" s="43"/>
      <c r="I326" s="43"/>
      <c r="J326" s="43"/>
      <c r="K326" s="43"/>
      <c r="L326" s="43"/>
      <c r="M326" s="43"/>
      <c r="N326" s="43"/>
      <c r="O326" s="251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1:51" s="33" customFormat="1" ht="13.8">
      <c r="A327" s="146" t="s">
        <v>204</v>
      </c>
      <c r="B327" s="150">
        <f ca="1">IF(INDIRECT(ADDRESS(ROW('1'!AK$32),COLUMN('1'!AA11)+ROW(A3)+52,1,1,"1"))="","",INDIRECT(ADDRESS(ROW('1'!AK$32),COLUMN('1'!AA11)+ROW(A2)+52,1,1,"1")))</f>
        <v>55473.418000000063</v>
      </c>
      <c r="C327" s="150">
        <f ca="1">IF(INDIRECT(ADDRESS(ROW('1'!AK$32),COLUMN('1'!AA11)+ROW(A3)+65,1,1,"1"))="","",INDIRECT(ADDRESS(ROW('1'!AK$32),COLUMN('1'!AA11)+ROW(A2)+65,1,1,"1")))</f>
        <v>81244.570410000044</v>
      </c>
      <c r="D327" s="150">
        <f>'1'!$CN$32*ROW(A2)/12</f>
        <v>68030.093000000037</v>
      </c>
      <c r="E327" s="150">
        <f>'1'!$CS$32*ROW(A2)/12</f>
        <v>77554.690000000104</v>
      </c>
      <c r="F327" s="150">
        <f t="shared" ref="F327:F337" ca="1" si="26">IFERROR(C327-E327,"")</f>
        <v>3689.8804099999397</v>
      </c>
      <c r="G327" s="137"/>
      <c r="H327" s="43"/>
      <c r="I327" s="43"/>
      <c r="J327" s="43"/>
      <c r="K327" s="43"/>
      <c r="L327" s="43"/>
      <c r="M327" s="43"/>
      <c r="N327" s="43"/>
      <c r="O327" s="251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1:51" s="33" customFormat="1" ht="13.8">
      <c r="A328" s="146" t="s">
        <v>205</v>
      </c>
      <c r="B328" s="150">
        <f ca="1">IF(INDIRECT(ADDRESS(ROW('1'!AK$32),COLUMN('1'!AA12)+ROW(A4)+52,1,1,"1"))="","",INDIRECT(ADDRESS(ROW('1'!AK$32),COLUMN('1'!AA12)+ROW(A3)+52,1,1,"1")))</f>
        <v>83250.759000000078</v>
      </c>
      <c r="C328" s="150">
        <f ca="1">IF(INDIRECT(ADDRESS(ROW('1'!AK$32),COLUMN('1'!AA12)+ROW(A4)+65,1,1,"1"))="","",INDIRECT(ADDRESS(ROW('1'!AK$32),COLUMN('1'!AA12)+ROW(A3)+65,1,1,"1")))</f>
        <v>98564.328629999887</v>
      </c>
      <c r="D328" s="150">
        <f>'1'!$CN$32*ROW(A3)/12</f>
        <v>102045.13950000005</v>
      </c>
      <c r="E328" s="150">
        <f>'1'!$CS$32*ROW(A3)/12</f>
        <v>116332.03500000015</v>
      </c>
      <c r="F328" s="150">
        <f t="shared" ca="1" si="26"/>
        <v>-17767.706370000262</v>
      </c>
      <c r="G328" s="137"/>
      <c r="H328" s="43"/>
      <c r="I328" s="43"/>
      <c r="J328" s="43"/>
      <c r="K328" s="43"/>
      <c r="L328" s="43"/>
      <c r="M328" s="43"/>
      <c r="N328" s="43"/>
      <c r="O328" s="251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1:51" s="33" customFormat="1" ht="13.8">
      <c r="A329" s="146" t="s">
        <v>206</v>
      </c>
      <c r="B329" s="150">
        <f ca="1">IF(INDIRECT(ADDRESS(ROW('1'!AK$32),COLUMN('1'!AA13)+ROW(A5)+52,1,1,"1"))="","",INDIRECT(ADDRESS(ROW('1'!AK$32),COLUMN('1'!AA13)+ROW(A4)+52,1,1,"1")))</f>
        <v>139544.30599999987</v>
      </c>
      <c r="C329" s="150">
        <f ca="1">IF(INDIRECT(ADDRESS(ROW('1'!AK$32),COLUMN('1'!AA13)+ROW(A5)+65,1,1,"1"))="","",INDIRECT(ADDRESS(ROW('1'!AK$32),COLUMN('1'!AA13)+ROW(A4)+65,1,1,"1")))</f>
        <v>65220.430290000048</v>
      </c>
      <c r="D329" s="150">
        <f>'1'!$CN$32*ROW(A4)/12</f>
        <v>136060.18600000007</v>
      </c>
      <c r="E329" s="150">
        <f>'1'!$CS$32*ROW(A4)/12</f>
        <v>155109.38000000021</v>
      </c>
      <c r="F329" s="150">
        <f t="shared" ca="1" si="26"/>
        <v>-89888.949710000161</v>
      </c>
      <c r="G329" s="137"/>
      <c r="H329" s="43"/>
      <c r="I329" s="43"/>
      <c r="J329" s="43"/>
      <c r="K329" s="43"/>
      <c r="L329" s="43"/>
      <c r="M329" s="43"/>
      <c r="N329" s="43"/>
      <c r="O329" s="251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1:51" s="33" customFormat="1" ht="13.8">
      <c r="A330" s="146" t="s">
        <v>207</v>
      </c>
      <c r="B330" s="150">
        <f ca="1">IF(INDIRECT(ADDRESS(ROW('1'!AK$32),COLUMN('1'!AA14)+ROW(A6)+52,1,1,"1"))="","",INDIRECT(ADDRESS(ROW('1'!AK$32),COLUMN('1'!AA14)+ROW(A5)+52,1,1,"1")))</f>
        <v>171040.53099999996</v>
      </c>
      <c r="C330" s="150" t="str">
        <f ca="1">IF(INDIRECT(ADDRESS(ROW('1'!AK$32),COLUMN('1'!AA14)+ROW(A6)+65,1,1,"1"))="","",INDIRECT(ADDRESS(ROW('1'!AK$32),COLUMN('1'!AA14)+ROW(A5)+65,1,1,"1")))</f>
        <v/>
      </c>
      <c r="D330" s="150">
        <f>'1'!$CN$32*ROW(A5)/12</f>
        <v>170075.23250000007</v>
      </c>
      <c r="E330" s="150">
        <f>'1'!$CS$32*ROW(A5)/12</f>
        <v>193886.72500000024</v>
      </c>
      <c r="F330" s="150" t="str">
        <f t="shared" ca="1" si="26"/>
        <v/>
      </c>
      <c r="G330" s="137"/>
      <c r="H330" s="43"/>
      <c r="I330" s="43"/>
      <c r="J330" s="43"/>
      <c r="K330" s="43"/>
      <c r="L330" s="43"/>
      <c r="M330" s="43"/>
      <c r="N330" s="43"/>
      <c r="O330" s="251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1:51" s="33" customFormat="1" ht="13.8">
      <c r="A331" s="146" t="s">
        <v>208</v>
      </c>
      <c r="B331" s="150">
        <f ca="1">IF(INDIRECT(ADDRESS(ROW('1'!AK$32),COLUMN('1'!AA15)+ROW(A7)+52,1,1,"1"))="","",INDIRECT(ADDRESS(ROW('1'!AK$32),COLUMN('1'!AA15)+ROW(A6)+52,1,1,"1")))</f>
        <v>207935.19800000032</v>
      </c>
      <c r="C331" s="150" t="str">
        <f ca="1">IF(INDIRECT(ADDRESS(ROW('1'!AK$32),COLUMN('1'!AA15)+ROW(A7)+65,1,1,"1"))="","",INDIRECT(ADDRESS(ROW('1'!AK$32),COLUMN('1'!AA15)+ROW(A6)+65,1,1,"1")))</f>
        <v/>
      </c>
      <c r="D331" s="150">
        <f>'1'!$CN$32*ROW(A6)/12</f>
        <v>204090.2790000001</v>
      </c>
      <c r="E331" s="150">
        <f>'1'!$CS$32*ROW(A6)/12</f>
        <v>232664.0700000003</v>
      </c>
      <c r="F331" s="150" t="str">
        <f t="shared" ca="1" si="26"/>
        <v/>
      </c>
      <c r="G331" s="137"/>
      <c r="H331" s="43"/>
      <c r="I331" s="43"/>
      <c r="J331" s="43"/>
      <c r="K331" s="43"/>
      <c r="L331" s="43"/>
      <c r="M331" s="43"/>
      <c r="N331" s="43"/>
      <c r="O331" s="251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1:51" s="33" customFormat="1" ht="13.8">
      <c r="A332" s="146" t="s">
        <v>209</v>
      </c>
      <c r="B332" s="150">
        <f ca="1">IF(INDIRECT(ADDRESS(ROW('1'!AK$32),COLUMN('1'!AA16)+ROW(A8)+52,1,1,"1"))="","",INDIRECT(ADDRESS(ROW('1'!AK$32),COLUMN('1'!AA16)+ROW(A7)+52,1,1,"1")))</f>
        <v>250065.54900000012</v>
      </c>
      <c r="C332" s="150" t="str">
        <f ca="1">IF(INDIRECT(ADDRESS(ROW('1'!AK$32),COLUMN('1'!AA16)+ROW(A8)+65,1,1,"1"))="","",INDIRECT(ADDRESS(ROW('1'!AK$32),COLUMN('1'!AA16)+ROW(A7)+65,1,1,"1")))</f>
        <v/>
      </c>
      <c r="D332" s="150">
        <f>'1'!$CN$32*ROW(A7)/12</f>
        <v>238105.32550000012</v>
      </c>
      <c r="E332" s="150">
        <f>'1'!$CS$32*ROW(A7)/12</f>
        <v>271441.41500000033</v>
      </c>
      <c r="F332" s="150" t="str">
        <f t="shared" ca="1" si="26"/>
        <v/>
      </c>
      <c r="G332" s="137"/>
      <c r="H332" s="43"/>
      <c r="I332" s="43"/>
      <c r="J332" s="43"/>
      <c r="K332" s="43"/>
      <c r="L332" s="43"/>
      <c r="M332" s="43"/>
      <c r="N332" s="43"/>
      <c r="O332" s="251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1:51" s="33" customFormat="1" ht="13.8">
      <c r="A333" s="146" t="s">
        <v>210</v>
      </c>
      <c r="B333" s="150">
        <f ca="1">IF(INDIRECT(ADDRESS(ROW('1'!AK$32),COLUMN('1'!AA17)+ROW(A9)+52,1,1,"1"))="","",INDIRECT(ADDRESS(ROW('1'!AK$32),COLUMN('1'!AA17)+ROW(A8)+52,1,1,"1")))</f>
        <v>300845.93399999989</v>
      </c>
      <c r="C333" s="150" t="str">
        <f ca="1">IF(INDIRECT(ADDRESS(ROW('1'!AK$32),COLUMN('1'!AA17)+ROW(A9)+65,1,1,"1"))="","",INDIRECT(ADDRESS(ROW('1'!AK$32),COLUMN('1'!AA17)+ROW(A8)+65,1,1,"1")))</f>
        <v/>
      </c>
      <c r="D333" s="150">
        <f>'1'!$CN$32*ROW(A8)/12</f>
        <v>272120.37200000015</v>
      </c>
      <c r="E333" s="150">
        <f>'1'!$CS$32*ROW(A8)/12</f>
        <v>310218.76000000042</v>
      </c>
      <c r="F333" s="150" t="str">
        <f t="shared" ca="1" si="26"/>
        <v/>
      </c>
      <c r="G333" s="137"/>
      <c r="H333" s="43"/>
      <c r="I333" s="43"/>
      <c r="J333" s="43"/>
      <c r="K333" s="43"/>
      <c r="L333" s="43"/>
      <c r="M333" s="43"/>
      <c r="N333" s="43"/>
      <c r="O333" s="251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1:51" s="33" customFormat="1" ht="13.8">
      <c r="A334" s="146" t="s">
        <v>211</v>
      </c>
      <c r="B334" s="150">
        <f ca="1">IF(INDIRECT(ADDRESS(ROW('1'!AK$32),COLUMN('1'!AA18)+ROW(A10)+52,1,1,"1"))="","",INDIRECT(ADDRESS(ROW('1'!AK$32),COLUMN('1'!AA18)+ROW(A9)+52,1,1,"1")))</f>
        <v>313731.5</v>
      </c>
      <c r="C334" s="150" t="str">
        <f ca="1">IF(INDIRECT(ADDRESS(ROW('1'!AK$32),COLUMN('1'!AA18)+ROW(A10)+65,1,1,"1"))="","",INDIRECT(ADDRESS(ROW('1'!AK$32),COLUMN('1'!AA18)+ROW(A9)+65,1,1,"1")))</f>
        <v/>
      </c>
      <c r="D334" s="150">
        <f>'1'!$CN$32*ROW(A9)/12</f>
        <v>306135.41850000015</v>
      </c>
      <c r="E334" s="150">
        <f>'1'!$CS$32*ROW(A9)/12</f>
        <v>348996.10500000045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  <c r="O334" s="251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1:51" s="33" customFormat="1" ht="13.8">
      <c r="A335" s="146" t="s">
        <v>212</v>
      </c>
      <c r="B335" s="150">
        <f ca="1">IF(INDIRECT(ADDRESS(ROW('1'!AK$32),COLUMN('1'!AA19)+ROW(A11)+52,1,1,"1"))="","",INDIRECT(ADDRESS(ROW('1'!AK$32),COLUMN('1'!AA19)+ROW(A10)+52,1,1,"1")))</f>
        <v>331664.57599999988</v>
      </c>
      <c r="C335" s="150" t="str">
        <f ca="1">IF(INDIRECT(ADDRESS(ROW('1'!AK$32),COLUMN('1'!AA19)+ROW(A11)+65,1,1,"1"))="","",INDIRECT(ADDRESS(ROW('1'!AK$32),COLUMN('1'!AA19)+ROW(A10)+65,1,1,"1")))</f>
        <v/>
      </c>
      <c r="D335" s="150">
        <f>'1'!$CN$32*ROW(A10)/12</f>
        <v>340150.46500000014</v>
      </c>
      <c r="E335" s="150">
        <f>'1'!$CS$32*ROW(A10)/12</f>
        <v>387773.45000000048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  <c r="O335" s="251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1:51" s="33" customFormat="1" ht="13.8">
      <c r="A336" s="146" t="s">
        <v>213</v>
      </c>
      <c r="B336" s="150">
        <f ca="1">IF(INDIRECT(ADDRESS(ROW('1'!AK$32),COLUMN('1'!AA20)+ROW(A12)+52,1,1,"1"))="","",INDIRECT(ADDRESS(ROW('1'!AK$32),COLUMN('1'!AA20)+ROW(A11)+52,1,1,"1")))</f>
        <v>340898.75600000005</v>
      </c>
      <c r="C336" s="150" t="str">
        <f ca="1">IF(INDIRECT(ADDRESS(ROW('1'!AK$32),COLUMN('1'!AA20)+ROW(A12)+65,1,1,"1"))="","",INDIRECT(ADDRESS(ROW('1'!AK$32),COLUMN('1'!AA20)+ROW(A11)+65,1,1,"1")))</f>
        <v/>
      </c>
      <c r="D336" s="150">
        <f>'1'!$CN$32*ROW(A11)/12</f>
        <v>374165.5115000002</v>
      </c>
      <c r="E336" s="150">
        <f>'1'!$CS$32*ROW(A11)/12</f>
        <v>426550.79500000057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  <c r="O336" s="251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1:51" s="33" customFormat="1" ht="13.8">
      <c r="A337" s="146" t="s">
        <v>214</v>
      </c>
      <c r="B337" s="150">
        <f ca="1">IF(INDIRECT(ADDRESS(ROW('1'!AK$32),COLUMN('1'!AA21)+ROW(A13)+52,1,1,"1"))="","",INDIRECT(ADDRESS(ROW('1'!AK$32),COLUMN('1'!AA21)+ROW(A12)+52,1,1,"1")))</f>
        <v>337134.9589999998</v>
      </c>
      <c r="C337" s="150" t="str">
        <f ca="1">IF(INDIRECT(ADDRESS(ROW('1'!AK$32),COLUMN('1'!AA21)+ROW(A13)+65,1,1,"1"))="","",INDIRECT(ADDRESS(ROW('1'!AK$32),COLUMN('1'!AA21)+ROW(A12)+65,1,1,"1")))</f>
        <v/>
      </c>
      <c r="D337" s="150">
        <f>'1'!$CN$32*ROW(A12)/12</f>
        <v>408180.55800000019</v>
      </c>
      <c r="E337" s="150">
        <f>'1'!$CS$32*ROW(A12)/12</f>
        <v>465328.1400000006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  <c r="O337" s="251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1:51" s="33" customFormat="1" ht="13.8">
      <c r="A338" s="137"/>
      <c r="B338" s="137"/>
      <c r="C338" s="137"/>
      <c r="D338" s="137"/>
      <c r="E338" s="137"/>
      <c r="F338" s="137"/>
      <c r="G338" s="137"/>
      <c r="H338" s="43"/>
      <c r="I338" s="43"/>
      <c r="J338" s="43"/>
      <c r="K338" s="43"/>
      <c r="L338" s="43"/>
      <c r="M338" s="43"/>
      <c r="N338" s="43"/>
      <c r="O338" s="251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1:51" s="33" customFormat="1" ht="13.8">
      <c r="A339" s="137"/>
      <c r="B339" s="137"/>
      <c r="C339" s="137"/>
      <c r="D339" s="137"/>
      <c r="E339" s="137"/>
      <c r="F339" s="137"/>
      <c r="G339" s="137"/>
      <c r="H339" s="43"/>
      <c r="I339" s="43"/>
      <c r="J339" s="43"/>
      <c r="K339" s="43"/>
      <c r="L339" s="43"/>
      <c r="M339" s="43"/>
      <c r="N339" s="43"/>
      <c r="O339" s="251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1:51" s="33" customFormat="1" ht="13.8">
      <c r="A340" s="137"/>
      <c r="B340" s="137"/>
      <c r="C340" s="137"/>
      <c r="D340" s="137"/>
      <c r="E340" s="137"/>
      <c r="F340" s="137"/>
      <c r="G340" s="137"/>
      <c r="H340" s="43"/>
      <c r="I340" s="43"/>
      <c r="J340" s="43"/>
      <c r="K340" s="43"/>
      <c r="L340" s="43"/>
      <c r="M340" s="43"/>
      <c r="N340" s="43"/>
      <c r="O340" s="251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1:51" s="33" customFormat="1" ht="13.8">
      <c r="A341" s="137"/>
      <c r="B341" s="137"/>
      <c r="C341" s="137"/>
      <c r="D341" s="137"/>
      <c r="E341" s="137"/>
      <c r="F341" s="137"/>
      <c r="G341" s="137"/>
      <c r="H341" s="43"/>
      <c r="I341" s="43"/>
      <c r="J341" s="43"/>
      <c r="K341" s="43"/>
      <c r="L341" s="43"/>
      <c r="M341" s="43"/>
      <c r="N341" s="43"/>
      <c r="O341" s="251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1:51" s="33" customFormat="1" ht="13.8">
      <c r="A342" s="137"/>
      <c r="B342" s="137"/>
      <c r="C342" s="137"/>
      <c r="D342" s="137"/>
      <c r="E342" s="137"/>
      <c r="F342" s="137"/>
      <c r="G342" s="137"/>
      <c r="H342" s="43"/>
      <c r="I342" s="43"/>
      <c r="J342" s="43"/>
      <c r="K342" s="43"/>
      <c r="L342" s="43"/>
      <c r="M342" s="43"/>
      <c r="N342" s="43"/>
      <c r="O342" s="251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1:51" s="33" customFormat="1" ht="13.8">
      <c r="A343" s="137"/>
      <c r="B343" s="137"/>
      <c r="C343" s="137"/>
      <c r="D343" s="137"/>
      <c r="E343" s="137"/>
      <c r="F343" s="137"/>
      <c r="G343" s="137"/>
      <c r="H343" s="43"/>
      <c r="I343" s="43"/>
      <c r="J343" s="43"/>
      <c r="K343" s="43"/>
      <c r="L343" s="43"/>
      <c r="M343" s="43"/>
      <c r="N343" s="43"/>
      <c r="O343" s="251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1:51" s="33" customFormat="1" ht="13.8">
      <c r="A344" s="137"/>
      <c r="B344" s="137"/>
      <c r="C344" s="137"/>
      <c r="D344" s="137"/>
      <c r="E344" s="137"/>
      <c r="F344" s="137"/>
      <c r="G344" s="137"/>
      <c r="H344" s="43"/>
      <c r="I344" s="43"/>
      <c r="J344" s="43"/>
      <c r="K344" s="43"/>
      <c r="L344" s="43"/>
      <c r="M344" s="43"/>
      <c r="N344" s="43"/>
      <c r="O344" s="251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1:51" s="33" customFormat="1" ht="13.8">
      <c r="A345" s="137"/>
      <c r="B345" s="137"/>
      <c r="C345" s="137"/>
      <c r="D345" s="137"/>
      <c r="E345" s="137"/>
      <c r="F345" s="137"/>
      <c r="G345" s="137"/>
      <c r="H345" s="43"/>
      <c r="I345" s="43"/>
      <c r="J345" s="43"/>
      <c r="K345" s="43"/>
      <c r="L345" s="43"/>
      <c r="M345" s="43"/>
      <c r="N345" s="43"/>
      <c r="O345" s="251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1:51" s="33" customFormat="1" ht="13.8">
      <c r="A346" s="137"/>
      <c r="B346" s="137"/>
      <c r="C346" s="137"/>
      <c r="D346" s="137"/>
      <c r="E346" s="137"/>
      <c r="F346" s="137"/>
      <c r="G346" s="137"/>
      <c r="H346" s="43"/>
      <c r="I346" s="43"/>
      <c r="J346" s="43"/>
      <c r="K346" s="43"/>
      <c r="L346" s="43"/>
      <c r="M346" s="43"/>
      <c r="N346" s="43"/>
      <c r="O346" s="251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1:51" s="33" customFormat="1" ht="13.8">
      <c r="A347" s="137"/>
      <c r="B347" s="137"/>
      <c r="C347" s="137"/>
      <c r="D347" s="137"/>
      <c r="E347" s="137"/>
      <c r="F347" s="137"/>
      <c r="G347" s="137"/>
      <c r="H347" s="43"/>
      <c r="I347" s="43"/>
      <c r="J347" s="43"/>
      <c r="K347" s="43"/>
      <c r="L347" s="43"/>
      <c r="M347" s="43"/>
      <c r="N347" s="43"/>
      <c r="O347" s="251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1:51" s="33" customFormat="1" ht="13.8">
      <c r="A348" s="137"/>
      <c r="B348" s="137"/>
      <c r="C348" s="137"/>
      <c r="D348" s="137"/>
      <c r="E348" s="137"/>
      <c r="F348" s="137"/>
      <c r="G348" s="137"/>
      <c r="H348" s="43"/>
      <c r="I348" s="43"/>
      <c r="J348" s="43"/>
      <c r="K348" s="43"/>
      <c r="L348" s="43"/>
      <c r="M348" s="43"/>
      <c r="N348" s="43"/>
      <c r="O348" s="251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1:51" s="33" customFormat="1" ht="13.8">
      <c r="A349" s="137"/>
      <c r="B349" s="137"/>
      <c r="C349" s="137"/>
      <c r="D349" s="137"/>
      <c r="E349" s="137"/>
      <c r="F349" s="137"/>
      <c r="G349" s="137"/>
      <c r="H349" s="43"/>
      <c r="I349" s="43"/>
      <c r="J349" s="43"/>
      <c r="K349" s="43"/>
      <c r="L349" s="43"/>
      <c r="M349" s="43"/>
      <c r="N349" s="43"/>
      <c r="O349" s="251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1:51" s="33" customFormat="1" ht="13.8">
      <c r="A350" s="137"/>
      <c r="B350" s="137"/>
      <c r="C350" s="137"/>
      <c r="D350" s="137"/>
      <c r="E350" s="137"/>
      <c r="F350" s="137"/>
      <c r="G350" s="137"/>
      <c r="H350" s="43"/>
      <c r="I350" s="43"/>
      <c r="J350" s="43"/>
      <c r="K350" s="43"/>
      <c r="L350" s="43"/>
      <c r="M350" s="43"/>
      <c r="N350" s="43"/>
      <c r="O350" s="251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1:51" s="33" customFormat="1" ht="13.8">
      <c r="A351" s="137"/>
      <c r="B351" s="137"/>
      <c r="C351" s="137"/>
      <c r="D351" s="137"/>
      <c r="E351" s="137"/>
      <c r="F351" s="137"/>
      <c r="G351" s="137"/>
      <c r="H351" s="43"/>
      <c r="I351" s="43"/>
      <c r="J351" s="43"/>
      <c r="K351" s="43"/>
      <c r="L351" s="43"/>
      <c r="M351" s="43"/>
      <c r="N351" s="43"/>
      <c r="O351" s="251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1:51" s="33" customFormat="1" ht="13.8">
      <c r="A352" s="137"/>
      <c r="B352" s="137"/>
      <c r="C352" s="137"/>
      <c r="D352" s="137"/>
      <c r="E352" s="137"/>
      <c r="F352" s="137"/>
      <c r="G352" s="137"/>
      <c r="H352" s="43"/>
      <c r="I352" s="43"/>
      <c r="J352" s="43"/>
      <c r="K352" s="43"/>
      <c r="L352" s="43"/>
      <c r="M352" s="43"/>
      <c r="N352" s="43"/>
      <c r="O352" s="251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1:51" s="33" customFormat="1" ht="13.8">
      <c r="A353" s="137"/>
      <c r="B353" s="137"/>
      <c r="C353" s="137"/>
      <c r="D353" s="137"/>
      <c r="E353" s="137"/>
      <c r="F353" s="137"/>
      <c r="G353" s="137"/>
      <c r="H353" s="43"/>
      <c r="I353" s="43"/>
      <c r="J353" s="43"/>
      <c r="K353" s="43"/>
      <c r="L353" s="43"/>
      <c r="M353" s="43"/>
      <c r="N353" s="43"/>
      <c r="O353" s="251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1:51" s="33" customFormat="1" ht="13.8">
      <c r="A354" s="137"/>
      <c r="B354" s="137"/>
      <c r="C354" s="137"/>
      <c r="D354" s="137"/>
      <c r="E354" s="137"/>
      <c r="F354" s="137"/>
      <c r="G354" s="137"/>
      <c r="H354" s="43"/>
      <c r="I354" s="43"/>
      <c r="J354" s="43"/>
      <c r="K354" s="43"/>
      <c r="L354" s="43"/>
      <c r="M354" s="43"/>
      <c r="N354" s="43"/>
      <c r="O354" s="251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1:51" s="33" customFormat="1" ht="13.8">
      <c r="A355" s="137"/>
      <c r="B355" s="137"/>
      <c r="C355" s="137"/>
      <c r="D355" s="137"/>
      <c r="E355" s="137"/>
      <c r="F355" s="137"/>
      <c r="G355" s="137"/>
      <c r="H355" s="43"/>
      <c r="I355" s="43"/>
      <c r="J355" s="43"/>
      <c r="K355" s="43"/>
      <c r="L355" s="43"/>
      <c r="M355" s="43"/>
      <c r="N355" s="43"/>
      <c r="O355" s="251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1:51" s="33" customFormat="1" ht="13.8">
      <c r="A356" s="137"/>
      <c r="B356" s="137"/>
      <c r="C356" s="137"/>
      <c r="D356" s="137"/>
      <c r="E356" s="137"/>
      <c r="F356" s="137"/>
      <c r="G356" s="137"/>
      <c r="H356" s="43"/>
      <c r="I356" s="43"/>
      <c r="J356" s="43"/>
      <c r="K356" s="43"/>
      <c r="L356" s="43"/>
      <c r="M356" s="43"/>
      <c r="N356" s="43"/>
      <c r="O356" s="251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1:51" s="33" customFormat="1" ht="13.8">
      <c r="A357" s="137"/>
      <c r="B357" s="137"/>
      <c r="C357" s="137"/>
      <c r="D357" s="137"/>
      <c r="E357" s="137"/>
      <c r="F357" s="137"/>
      <c r="G357" s="137"/>
      <c r="H357" s="43"/>
      <c r="I357" s="43"/>
      <c r="J357" s="43"/>
      <c r="K357" s="43"/>
      <c r="L357" s="43"/>
      <c r="M357" s="43"/>
      <c r="N357" s="43"/>
      <c r="O357" s="251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1:51" s="33" customFormat="1" ht="13.8">
      <c r="A358" s="137"/>
      <c r="B358" s="137"/>
      <c r="C358" s="137"/>
      <c r="D358" s="137"/>
      <c r="E358" s="137"/>
      <c r="F358" s="137"/>
      <c r="G358" s="137"/>
      <c r="H358" s="43"/>
      <c r="I358" s="43"/>
      <c r="J358" s="43"/>
      <c r="K358" s="43"/>
      <c r="L358" s="43"/>
      <c r="M358" s="43"/>
      <c r="N358" s="43"/>
      <c r="O358" s="251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1:51" s="33" customFormat="1" ht="13.8">
      <c r="A359" s="137"/>
      <c r="B359" s="137"/>
      <c r="C359" s="137"/>
      <c r="D359" s="137"/>
      <c r="E359" s="137"/>
      <c r="F359" s="137"/>
      <c r="G359" s="137"/>
      <c r="H359" s="43"/>
      <c r="I359" s="43"/>
      <c r="J359" s="43"/>
      <c r="K359" s="43"/>
      <c r="L359" s="43"/>
      <c r="M359" s="43"/>
      <c r="N359" s="43"/>
      <c r="O359" s="251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1:51" s="33" customFormat="1" ht="13.8">
      <c r="A360" s="137"/>
      <c r="B360" s="137"/>
      <c r="C360" s="137"/>
      <c r="D360" s="137"/>
      <c r="E360" s="137"/>
      <c r="F360" s="137"/>
      <c r="G360" s="137"/>
      <c r="H360" s="43"/>
      <c r="I360" s="43"/>
      <c r="J360" s="43"/>
      <c r="K360" s="43"/>
      <c r="L360" s="43"/>
      <c r="M360" s="43"/>
      <c r="N360" s="43"/>
      <c r="O360" s="251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1:51" s="33" customFormat="1" ht="13.8">
      <c r="A361" s="137"/>
      <c r="B361" s="137"/>
      <c r="C361" s="137"/>
      <c r="D361" s="137"/>
      <c r="E361" s="137"/>
      <c r="F361" s="137"/>
      <c r="G361" s="137"/>
      <c r="H361" s="43"/>
      <c r="I361" s="43"/>
      <c r="J361" s="43"/>
      <c r="K361" s="43"/>
      <c r="L361" s="43"/>
      <c r="M361" s="43"/>
      <c r="N361" s="43"/>
      <c r="O361" s="251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1:51" s="33" customFormat="1" ht="13.8">
      <c r="A362" s="339" t="s">
        <v>112</v>
      </c>
      <c r="B362" s="340"/>
      <c r="C362" s="340"/>
      <c r="D362" s="340"/>
      <c r="E362" s="340"/>
      <c r="F362" s="341"/>
      <c r="G362" s="137"/>
      <c r="H362" s="43"/>
      <c r="I362" s="43"/>
      <c r="J362" s="43"/>
      <c r="K362" s="43"/>
      <c r="L362" s="43"/>
      <c r="M362" s="43"/>
      <c r="N362" s="43"/>
      <c r="O362" s="251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1:51" s="33" customFormat="1" ht="13.8">
      <c r="A363" s="138" t="s">
        <v>38</v>
      </c>
      <c r="B363" s="337" t="s">
        <v>27</v>
      </c>
      <c r="C363" s="338"/>
      <c r="D363" s="337" t="s">
        <v>68</v>
      </c>
      <c r="E363" s="338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  <c r="O363" s="251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1:51" s="33" customFormat="1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  <c r="O364" s="251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1:51" s="33" customFormat="1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  <c r="O365" s="251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1:51" s="33" customFormat="1" ht="13.8">
      <c r="A366" s="144"/>
      <c r="B366" s="138">
        <v>2024</v>
      </c>
      <c r="C366" s="138">
        <v>2025</v>
      </c>
      <c r="D366" s="138" t="s">
        <v>141</v>
      </c>
      <c r="E366" s="138" t="s">
        <v>237</v>
      </c>
      <c r="F366" s="145"/>
      <c r="G366" s="137"/>
      <c r="H366" s="120" t="str">
        <f t="shared" ref="H366:O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fakts</v>
      </c>
      <c r="O366" s="120" t="str">
        <f t="shared" si="27"/>
        <v>2025 prognoze</v>
      </c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1:51" s="33" customFormat="1" ht="13.8">
      <c r="A367" s="146" t="s">
        <v>203</v>
      </c>
      <c r="B367" s="147">
        <f ca="1">IFERROR(B326/N367*100,"")</f>
        <v>8.6642217539285624E-2</v>
      </c>
      <c r="C367" s="147">
        <f ca="1">IFERROR(C326/O367*100,"")</f>
        <v>0.19724170319765003</v>
      </c>
      <c r="D367" s="147">
        <f>IFERROR(D326/N367*100,"")</f>
        <v>8.4596891822671466E-2</v>
      </c>
      <c r="E367" s="147">
        <f>IFERROR(E326/O367*100,"")</f>
        <v>9.2422336742543881E-2</v>
      </c>
      <c r="F367" s="147">
        <f ca="1">IFERROR(C367-E367,"")</f>
        <v>0.10481936645510614</v>
      </c>
      <c r="G367" s="137"/>
      <c r="H367" s="120">
        <f t="shared" ref="H367:H378" si="28">C561</f>
        <v>32285300</v>
      </c>
      <c r="I367" s="120">
        <f t="shared" ref="I367:I378" si="29">D561</f>
        <v>32283779</v>
      </c>
      <c r="J367" s="120">
        <f t="shared" ref="J367:J378" si="30">E561</f>
        <v>36103656</v>
      </c>
      <c r="K367" s="120">
        <f t="shared" ref="K367:K378" si="31">F561</f>
        <v>36099675</v>
      </c>
      <c r="L367" s="120">
        <f t="shared" ref="L367:L378" si="32">G561</f>
        <v>39072483</v>
      </c>
      <c r="M367" s="120">
        <f t="shared" ref="M367:M378" si="33">H561</f>
        <v>39372411</v>
      </c>
      <c r="N367" s="120">
        <f t="shared" si="27"/>
        <v>40208388</v>
      </c>
      <c r="O367" s="120">
        <f t="shared" si="27"/>
        <v>41956681.000200301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1:51" s="33" customFormat="1" ht="13.8">
      <c r="A368" s="146" t="s">
        <v>204</v>
      </c>
      <c r="B368" s="147">
        <f t="shared" ref="B368:B378" ca="1" si="34">IFERROR(B327/N368*100,"")</f>
        <v>0.13796478983439989</v>
      </c>
      <c r="C368" s="147">
        <f t="shared" ref="C368:C378" ca="1" si="35">IFERROR(C327/O368*100,"")</f>
        <v>0.19363917372208775</v>
      </c>
      <c r="D368" s="147">
        <f t="shared" ref="D368:D378" si="36">IFERROR(D327/N368*100,"")</f>
        <v>0.16919378364534293</v>
      </c>
      <c r="E368" s="147">
        <f t="shared" ref="E368:E378" si="37">IFERROR(E327/O368*100,"")</f>
        <v>0.18484467348508776</v>
      </c>
      <c r="F368" s="147">
        <f t="shared" ref="F368:F378" ca="1" si="38">IFERROR(C368-E368,"")</f>
        <v>8.7945002369999858E-3</v>
      </c>
      <c r="G368" s="137"/>
      <c r="H368" s="120">
        <f t="shared" si="28"/>
        <v>32285300</v>
      </c>
      <c r="I368" s="120">
        <f t="shared" si="29"/>
        <v>32283779</v>
      </c>
      <c r="J368" s="120">
        <f t="shared" si="30"/>
        <v>36103656</v>
      </c>
      <c r="K368" s="120">
        <f t="shared" si="31"/>
        <v>36099675</v>
      </c>
      <c r="L368" s="120">
        <f t="shared" si="32"/>
        <v>39072483</v>
      </c>
      <c r="M368" s="120">
        <f t="shared" si="33"/>
        <v>39372411</v>
      </c>
      <c r="N368" s="120">
        <f t="shared" si="27"/>
        <v>40208388</v>
      </c>
      <c r="O368" s="120">
        <f t="shared" si="27"/>
        <v>41956681.000200301</v>
      </c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1:51" s="33" customFormat="1" ht="13.8">
      <c r="A369" s="146" t="s">
        <v>205</v>
      </c>
      <c r="B369" s="147">
        <f t="shared" ca="1" si="34"/>
        <v>0.20704823829296534</v>
      </c>
      <c r="C369" s="147">
        <f t="shared" ca="1" si="35"/>
        <v>0.23491926978096606</v>
      </c>
      <c r="D369" s="147">
        <f t="shared" si="36"/>
        <v>0.25379067546801443</v>
      </c>
      <c r="E369" s="147">
        <f t="shared" si="37"/>
        <v>0.27726701022763162</v>
      </c>
      <c r="F369" s="147">
        <f t="shared" ca="1" si="38"/>
        <v>-4.234774044666556E-2</v>
      </c>
      <c r="G369" s="137"/>
      <c r="H369" s="120">
        <f t="shared" si="28"/>
        <v>32285300</v>
      </c>
      <c r="I369" s="120">
        <f t="shared" si="29"/>
        <v>32283779</v>
      </c>
      <c r="J369" s="120">
        <f t="shared" si="30"/>
        <v>36103656</v>
      </c>
      <c r="K369" s="120">
        <f t="shared" si="31"/>
        <v>36099675</v>
      </c>
      <c r="L369" s="120">
        <f t="shared" si="32"/>
        <v>39072483</v>
      </c>
      <c r="M369" s="120">
        <f t="shared" si="33"/>
        <v>39372411</v>
      </c>
      <c r="N369" s="120">
        <f t="shared" si="27"/>
        <v>40208388</v>
      </c>
      <c r="O369" s="120">
        <f t="shared" si="27"/>
        <v>41956681.000200301</v>
      </c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1:51" s="33" customFormat="1" ht="13.8">
      <c r="A370" s="146" t="s">
        <v>206</v>
      </c>
      <c r="B370" s="147">
        <f t="shared" ca="1" si="34"/>
        <v>0.34705272442158058</v>
      </c>
      <c r="C370" s="147">
        <f t="shared" ca="1" si="35"/>
        <v>0.15544706763075156</v>
      </c>
      <c r="D370" s="147">
        <f t="shared" si="36"/>
        <v>0.33838756729068586</v>
      </c>
      <c r="E370" s="147">
        <f t="shared" si="37"/>
        <v>0.36968934697017553</v>
      </c>
      <c r="F370" s="147">
        <f t="shared" ca="1" si="38"/>
        <v>-0.21424227933942397</v>
      </c>
      <c r="G370" s="137"/>
      <c r="H370" s="120">
        <f t="shared" si="28"/>
        <v>32285300</v>
      </c>
      <c r="I370" s="120">
        <f t="shared" si="29"/>
        <v>32283779</v>
      </c>
      <c r="J370" s="120">
        <f t="shared" si="30"/>
        <v>36103656</v>
      </c>
      <c r="K370" s="120">
        <f t="shared" si="31"/>
        <v>36099675</v>
      </c>
      <c r="L370" s="120">
        <f t="shared" si="32"/>
        <v>39072483</v>
      </c>
      <c r="M370" s="120">
        <f t="shared" si="33"/>
        <v>39372411</v>
      </c>
      <c r="N370" s="120">
        <f t="shared" si="27"/>
        <v>40208388</v>
      </c>
      <c r="O370" s="120">
        <f t="shared" si="27"/>
        <v>41956681.000200301</v>
      </c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1:51" s="33" customFormat="1" ht="13.8">
      <c r="A371" s="146" t="s">
        <v>207</v>
      </c>
      <c r="B371" s="147">
        <f t="shared" ca="1" si="34"/>
        <v>0.42538519823276666</v>
      </c>
      <c r="C371" s="147" t="str">
        <f t="shared" ca="1" si="35"/>
        <v/>
      </c>
      <c r="D371" s="147">
        <f t="shared" si="36"/>
        <v>0.42298445911335736</v>
      </c>
      <c r="E371" s="147">
        <f t="shared" si="37"/>
        <v>0.46211168371271938</v>
      </c>
      <c r="F371" s="147" t="str">
        <f t="shared" ca="1" si="38"/>
        <v/>
      </c>
      <c r="G371" s="137"/>
      <c r="H371" s="120">
        <f t="shared" si="28"/>
        <v>32285300</v>
      </c>
      <c r="I371" s="120">
        <f t="shared" si="29"/>
        <v>32283779</v>
      </c>
      <c r="J371" s="120">
        <f t="shared" si="30"/>
        <v>36103656</v>
      </c>
      <c r="K371" s="120">
        <f t="shared" si="31"/>
        <v>36099675</v>
      </c>
      <c r="L371" s="120">
        <f t="shared" si="32"/>
        <v>39072483</v>
      </c>
      <c r="M371" s="120">
        <f t="shared" si="33"/>
        <v>39372411</v>
      </c>
      <c r="N371" s="120">
        <f t="shared" si="27"/>
        <v>40208388</v>
      </c>
      <c r="O371" s="120">
        <f t="shared" si="27"/>
        <v>41956681.000200301</v>
      </c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1:51" s="33" customFormat="1" ht="13.8">
      <c r="A372" s="146" t="s">
        <v>208</v>
      </c>
      <c r="B372" s="147">
        <f t="shared" ca="1" si="34"/>
        <v>0.51714383078476145</v>
      </c>
      <c r="C372" s="147" t="str">
        <f t="shared" ca="1" si="35"/>
        <v/>
      </c>
      <c r="D372" s="147">
        <f t="shared" si="36"/>
        <v>0.50758135093602885</v>
      </c>
      <c r="E372" s="147">
        <f t="shared" si="37"/>
        <v>0.55453402045526323</v>
      </c>
      <c r="F372" s="147" t="str">
        <f t="shared" ca="1" si="38"/>
        <v/>
      </c>
      <c r="G372" s="137"/>
      <c r="H372" s="120">
        <f t="shared" si="28"/>
        <v>32285300</v>
      </c>
      <c r="I372" s="120">
        <f t="shared" si="29"/>
        <v>32283779</v>
      </c>
      <c r="J372" s="120">
        <f t="shared" si="30"/>
        <v>36103656</v>
      </c>
      <c r="K372" s="120">
        <f t="shared" si="31"/>
        <v>36099675</v>
      </c>
      <c r="L372" s="120">
        <f t="shared" si="32"/>
        <v>39072483</v>
      </c>
      <c r="M372" s="120">
        <f t="shared" si="33"/>
        <v>39372411</v>
      </c>
      <c r="N372" s="120">
        <f t="shared" si="27"/>
        <v>40208388</v>
      </c>
      <c r="O372" s="120">
        <f t="shared" si="27"/>
        <v>41956681.000200301</v>
      </c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1:51" s="33" customFormat="1" ht="13.8">
      <c r="A373" s="146" t="s">
        <v>209</v>
      </c>
      <c r="B373" s="147">
        <f t="shared" ca="1" si="34"/>
        <v>0.62192383589215294</v>
      </c>
      <c r="C373" s="147" t="str">
        <f t="shared" ca="1" si="35"/>
        <v/>
      </c>
      <c r="D373" s="147">
        <f t="shared" si="36"/>
        <v>0.59217824275870024</v>
      </c>
      <c r="E373" s="147">
        <f t="shared" si="37"/>
        <v>0.64695635719780709</v>
      </c>
      <c r="F373" s="147" t="str">
        <f t="shared" ca="1" si="38"/>
        <v/>
      </c>
      <c r="G373" s="137"/>
      <c r="H373" s="120">
        <f t="shared" si="28"/>
        <v>32285300</v>
      </c>
      <c r="I373" s="120">
        <f t="shared" si="29"/>
        <v>32283779</v>
      </c>
      <c r="J373" s="120">
        <f t="shared" si="30"/>
        <v>36103656</v>
      </c>
      <c r="K373" s="120">
        <f t="shared" si="31"/>
        <v>36099675</v>
      </c>
      <c r="L373" s="120">
        <f t="shared" si="32"/>
        <v>39072483</v>
      </c>
      <c r="M373" s="120">
        <f t="shared" si="33"/>
        <v>39372411</v>
      </c>
      <c r="N373" s="120">
        <f t="shared" si="27"/>
        <v>40208388</v>
      </c>
      <c r="O373" s="120">
        <f t="shared" si="27"/>
        <v>41956681.000200301</v>
      </c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1:51" s="33" customFormat="1" ht="13.8">
      <c r="A374" s="146" t="s">
        <v>210</v>
      </c>
      <c r="B374" s="147">
        <f t="shared" ca="1" si="34"/>
        <v>0.7482168496782311</v>
      </c>
      <c r="C374" s="147" t="str">
        <f t="shared" ca="1" si="35"/>
        <v/>
      </c>
      <c r="D374" s="147">
        <f t="shared" si="36"/>
        <v>0.67677513458137173</v>
      </c>
      <c r="E374" s="147">
        <f t="shared" si="37"/>
        <v>0.73937869394035105</v>
      </c>
      <c r="F374" s="147" t="str">
        <f t="shared" ca="1" si="38"/>
        <v/>
      </c>
      <c r="G374" s="137"/>
      <c r="H374" s="120">
        <f t="shared" si="28"/>
        <v>32285300</v>
      </c>
      <c r="I374" s="120">
        <f t="shared" si="29"/>
        <v>32283779</v>
      </c>
      <c r="J374" s="120">
        <f t="shared" si="30"/>
        <v>36103656</v>
      </c>
      <c r="K374" s="120">
        <f t="shared" si="31"/>
        <v>36099675</v>
      </c>
      <c r="L374" s="120">
        <f t="shared" si="32"/>
        <v>39072483</v>
      </c>
      <c r="M374" s="120">
        <f t="shared" si="33"/>
        <v>39372411</v>
      </c>
      <c r="N374" s="120">
        <f t="shared" si="27"/>
        <v>40208388</v>
      </c>
      <c r="O374" s="120">
        <f t="shared" si="27"/>
        <v>41956681.000200301</v>
      </c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1:51" s="33" customFormat="1" ht="13.8">
      <c r="A375" s="146" t="s">
        <v>211</v>
      </c>
      <c r="B375" s="147">
        <f t="shared" ca="1" si="34"/>
        <v>0.78026380963096553</v>
      </c>
      <c r="C375" s="147" t="str">
        <f t="shared" ca="1" si="35"/>
        <v/>
      </c>
      <c r="D375" s="147">
        <f t="shared" si="36"/>
        <v>0.76137202640404322</v>
      </c>
      <c r="E375" s="147">
        <f t="shared" si="37"/>
        <v>0.83180103068289479</v>
      </c>
      <c r="F375" s="147" t="str">
        <f t="shared" ca="1" si="38"/>
        <v/>
      </c>
      <c r="G375" s="137"/>
      <c r="H375" s="120">
        <f t="shared" si="28"/>
        <v>32285300</v>
      </c>
      <c r="I375" s="120">
        <f t="shared" si="29"/>
        <v>32283779</v>
      </c>
      <c r="J375" s="120">
        <f t="shared" si="30"/>
        <v>36103656</v>
      </c>
      <c r="K375" s="120">
        <f t="shared" si="31"/>
        <v>36099675</v>
      </c>
      <c r="L375" s="120">
        <f t="shared" si="32"/>
        <v>39072483</v>
      </c>
      <c r="M375" s="120">
        <f t="shared" si="33"/>
        <v>39372411</v>
      </c>
      <c r="N375" s="120">
        <f t="shared" si="27"/>
        <v>40208388</v>
      </c>
      <c r="O375" s="120">
        <f t="shared" si="27"/>
        <v>41956681.000200301</v>
      </c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1:51" s="33" customFormat="1" ht="13.8">
      <c r="A376" s="146" t="s">
        <v>212</v>
      </c>
      <c r="B376" s="147">
        <f t="shared" ca="1" si="34"/>
        <v>0.82486414526242602</v>
      </c>
      <c r="C376" s="147" t="str">
        <f t="shared" ca="1" si="35"/>
        <v/>
      </c>
      <c r="D376" s="147">
        <f t="shared" si="36"/>
        <v>0.84596891822671472</v>
      </c>
      <c r="E376" s="147">
        <f t="shared" si="37"/>
        <v>0.92422336742543876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32283779</v>
      </c>
      <c r="J376" s="120">
        <f t="shared" si="30"/>
        <v>36103656</v>
      </c>
      <c r="K376" s="120">
        <f t="shared" si="31"/>
        <v>36099675</v>
      </c>
      <c r="L376" s="120">
        <f t="shared" si="32"/>
        <v>39072483</v>
      </c>
      <c r="M376" s="120">
        <f t="shared" si="33"/>
        <v>39372411</v>
      </c>
      <c r="N376" s="120">
        <f t="shared" si="27"/>
        <v>40208388</v>
      </c>
      <c r="O376" s="120">
        <f t="shared" si="27"/>
        <v>41956681.000200301</v>
      </c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1:51" s="33" customFormat="1" ht="13.8">
      <c r="A377" s="146" t="s">
        <v>213</v>
      </c>
      <c r="B377" s="147">
        <f t="shared" ca="1" si="34"/>
        <v>0.84782995030788111</v>
      </c>
      <c r="C377" s="147" t="str">
        <f t="shared" ca="1" si="35"/>
        <v/>
      </c>
      <c r="D377" s="147">
        <f t="shared" si="36"/>
        <v>0.93056581004938632</v>
      </c>
      <c r="E377" s="147">
        <f t="shared" si="37"/>
        <v>1.0166457041679826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32283779</v>
      </c>
      <c r="J377" s="120">
        <f t="shared" si="30"/>
        <v>36103656</v>
      </c>
      <c r="K377" s="120">
        <f t="shared" si="31"/>
        <v>36099675</v>
      </c>
      <c r="L377" s="120">
        <f t="shared" si="32"/>
        <v>39072483</v>
      </c>
      <c r="M377" s="120">
        <f t="shared" si="33"/>
        <v>39372411</v>
      </c>
      <c r="N377" s="120">
        <f t="shared" si="27"/>
        <v>40208388</v>
      </c>
      <c r="O377" s="120">
        <f t="shared" si="27"/>
        <v>41956681.000200301</v>
      </c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1:51" s="33" customFormat="1" ht="13.8">
      <c r="A378" s="146" t="s">
        <v>214</v>
      </c>
      <c r="B378" s="147">
        <f t="shared" ca="1" si="34"/>
        <v>0.83846922438173799</v>
      </c>
      <c r="C378" s="147" t="str">
        <f t="shared" ca="1" si="35"/>
        <v/>
      </c>
      <c r="D378" s="147">
        <f t="shared" si="36"/>
        <v>1.0151627018720577</v>
      </c>
      <c r="E378" s="147">
        <f t="shared" si="37"/>
        <v>1.1090680409105265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32283779</v>
      </c>
      <c r="J378" s="120">
        <f t="shared" si="30"/>
        <v>36103656</v>
      </c>
      <c r="K378" s="120">
        <f t="shared" si="31"/>
        <v>36099675</v>
      </c>
      <c r="L378" s="120">
        <f t="shared" si="32"/>
        <v>39072483</v>
      </c>
      <c r="M378" s="120">
        <f t="shared" si="33"/>
        <v>39372411</v>
      </c>
      <c r="N378" s="120">
        <f t="shared" si="27"/>
        <v>40208388</v>
      </c>
      <c r="O378" s="120">
        <f t="shared" si="27"/>
        <v>41956681.000200301</v>
      </c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1:51" s="33" customFormat="1" ht="13.8">
      <c r="A379" s="137"/>
      <c r="B379" s="137"/>
      <c r="C379" s="137"/>
      <c r="D379" s="137"/>
      <c r="E379" s="137"/>
      <c r="F379" s="137"/>
      <c r="G379" s="137"/>
      <c r="H379" s="43"/>
      <c r="I379" s="43"/>
      <c r="J379" s="43"/>
      <c r="K379" s="43"/>
      <c r="L379" s="43"/>
      <c r="M379" s="43"/>
      <c r="N379" s="43"/>
      <c r="O379" s="251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1:51" s="33" customFormat="1" ht="13.8">
      <c r="A380" s="137"/>
      <c r="B380" s="137"/>
      <c r="C380" s="137"/>
      <c r="D380" s="137"/>
      <c r="E380" s="137"/>
      <c r="F380" s="137"/>
      <c r="G380" s="137"/>
      <c r="H380" s="43"/>
      <c r="I380" s="43"/>
      <c r="J380" s="43"/>
      <c r="K380" s="43"/>
      <c r="L380" s="43"/>
      <c r="M380" s="43"/>
      <c r="N380" s="43"/>
      <c r="O380" s="251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1:51" s="33" customFormat="1" ht="13.8">
      <c r="A381" s="137"/>
      <c r="B381" s="137"/>
      <c r="C381" s="137"/>
      <c r="D381" s="137"/>
      <c r="E381" s="137"/>
      <c r="F381" s="137"/>
      <c r="G381" s="137"/>
      <c r="H381" s="43"/>
      <c r="I381" s="43"/>
      <c r="J381" s="43"/>
      <c r="K381" s="43"/>
      <c r="L381" s="43"/>
      <c r="M381" s="43"/>
      <c r="N381" s="43"/>
      <c r="O381" s="251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1:51" s="33" customFormat="1" ht="13.8">
      <c r="A382" s="137"/>
      <c r="B382" s="137"/>
      <c r="C382" s="137"/>
      <c r="D382" s="137"/>
      <c r="E382" s="137"/>
      <c r="F382" s="137"/>
      <c r="G382" s="137"/>
      <c r="H382" s="43"/>
      <c r="I382" s="43"/>
      <c r="J382" s="43"/>
      <c r="K382" s="43"/>
      <c r="L382" s="43"/>
      <c r="M382" s="43"/>
      <c r="N382" s="43"/>
      <c r="O382" s="251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1:51" s="33" customFormat="1" ht="13.8">
      <c r="A383" s="137"/>
      <c r="B383" s="137"/>
      <c r="C383" s="137"/>
      <c r="D383" s="137"/>
      <c r="E383" s="137"/>
      <c r="F383" s="137"/>
      <c r="G383" s="137"/>
      <c r="H383" s="43"/>
      <c r="I383" s="43"/>
      <c r="J383" s="43"/>
      <c r="K383" s="43"/>
      <c r="L383" s="43"/>
      <c r="M383" s="43"/>
      <c r="N383" s="43"/>
      <c r="O383" s="251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1:51" s="33" customFormat="1" ht="13.8">
      <c r="A384" s="137"/>
      <c r="B384" s="137"/>
      <c r="C384" s="137"/>
      <c r="D384" s="137"/>
      <c r="E384" s="137"/>
      <c r="F384" s="137"/>
      <c r="G384" s="137"/>
      <c r="H384" s="43"/>
      <c r="I384" s="43"/>
      <c r="J384" s="43"/>
      <c r="K384" s="43"/>
      <c r="L384" s="43"/>
      <c r="M384" s="43"/>
      <c r="N384" s="43"/>
      <c r="O384" s="251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1:51" s="33" customFormat="1" ht="13.8">
      <c r="A385" s="137"/>
      <c r="B385" s="137"/>
      <c r="C385" s="137"/>
      <c r="D385" s="137"/>
      <c r="E385" s="137"/>
      <c r="F385" s="137"/>
      <c r="G385" s="137"/>
      <c r="H385" s="43"/>
      <c r="I385" s="43"/>
      <c r="J385" s="43"/>
      <c r="K385" s="43"/>
      <c r="L385" s="43"/>
      <c r="M385" s="43"/>
      <c r="N385" s="43"/>
      <c r="O385" s="251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1:51" s="33" customFormat="1" ht="13.8">
      <c r="A386" s="137"/>
      <c r="B386" s="137"/>
      <c r="C386" s="137"/>
      <c r="D386" s="137"/>
      <c r="E386" s="137"/>
      <c r="F386" s="137"/>
      <c r="G386" s="137"/>
      <c r="H386" s="43"/>
      <c r="I386" s="43"/>
      <c r="J386" s="43"/>
      <c r="K386" s="43"/>
      <c r="L386" s="43"/>
      <c r="M386" s="43"/>
      <c r="N386" s="43"/>
      <c r="O386" s="251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1:51" s="33" customFormat="1" ht="13.8">
      <c r="A387" s="137"/>
      <c r="B387" s="137"/>
      <c r="C387" s="137"/>
      <c r="D387" s="137"/>
      <c r="E387" s="137"/>
      <c r="F387" s="137"/>
      <c r="G387" s="137"/>
      <c r="H387" s="43"/>
      <c r="I387" s="43"/>
      <c r="J387" s="43"/>
      <c r="K387" s="43"/>
      <c r="L387" s="43"/>
      <c r="M387" s="43"/>
      <c r="N387" s="43"/>
      <c r="O387" s="251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1:51" s="33" customFormat="1" ht="13.8">
      <c r="A388" s="137"/>
      <c r="B388" s="137"/>
      <c r="C388" s="137"/>
      <c r="D388" s="137"/>
      <c r="E388" s="137"/>
      <c r="F388" s="137"/>
      <c r="G388" s="137"/>
      <c r="H388" s="43"/>
      <c r="I388" s="43"/>
      <c r="J388" s="43"/>
      <c r="K388" s="43"/>
      <c r="L388" s="43"/>
      <c r="M388" s="43"/>
      <c r="N388" s="43"/>
      <c r="O388" s="251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1:51" s="33" customFormat="1" ht="13.8">
      <c r="A389" s="137"/>
      <c r="B389" s="137"/>
      <c r="C389" s="137"/>
      <c r="D389" s="137"/>
      <c r="E389" s="137"/>
      <c r="F389" s="137"/>
      <c r="G389" s="137"/>
      <c r="H389" s="43"/>
      <c r="I389" s="43"/>
      <c r="J389" s="43"/>
      <c r="K389" s="43"/>
      <c r="L389" s="43"/>
      <c r="M389" s="43"/>
      <c r="N389" s="43"/>
      <c r="O389" s="251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1:51" s="33" customFormat="1" ht="13.8">
      <c r="A390" s="137"/>
      <c r="B390" s="137"/>
      <c r="C390" s="137"/>
      <c r="D390" s="137"/>
      <c r="E390" s="137"/>
      <c r="F390" s="137"/>
      <c r="G390" s="137"/>
      <c r="H390" s="43"/>
      <c r="I390" s="43"/>
      <c r="J390" s="43"/>
      <c r="K390" s="43"/>
      <c r="L390" s="43"/>
      <c r="M390" s="43"/>
      <c r="N390" s="43"/>
      <c r="O390" s="251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1:51" s="33" customFormat="1" ht="13.8">
      <c r="A391" s="137"/>
      <c r="B391" s="137"/>
      <c r="C391" s="137"/>
      <c r="D391" s="137"/>
      <c r="E391" s="137"/>
      <c r="F391" s="137"/>
      <c r="G391" s="137"/>
      <c r="H391" s="43"/>
      <c r="I391" s="43"/>
      <c r="J391" s="43"/>
      <c r="K391" s="43"/>
      <c r="L391" s="43"/>
      <c r="M391" s="43"/>
      <c r="N391" s="43"/>
      <c r="O391" s="251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1:51" s="33" customFormat="1" ht="13.8">
      <c r="A392" s="137"/>
      <c r="B392" s="137"/>
      <c r="C392" s="137"/>
      <c r="D392" s="137"/>
      <c r="E392" s="137"/>
      <c r="F392" s="137"/>
      <c r="G392" s="137"/>
      <c r="H392" s="43"/>
      <c r="I392" s="43"/>
      <c r="J392" s="43"/>
      <c r="K392" s="43"/>
      <c r="L392" s="43"/>
      <c r="M392" s="43"/>
      <c r="N392" s="43"/>
      <c r="O392" s="251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1:51" s="33" customFormat="1" ht="13.8">
      <c r="A393" s="137"/>
      <c r="B393" s="137"/>
      <c r="C393" s="137"/>
      <c r="D393" s="137"/>
      <c r="E393" s="137"/>
      <c r="F393" s="137"/>
      <c r="G393" s="137"/>
      <c r="H393" s="43"/>
      <c r="I393" s="43"/>
      <c r="J393" s="43"/>
      <c r="K393" s="43"/>
      <c r="L393" s="43"/>
      <c r="M393" s="43"/>
      <c r="N393" s="43"/>
      <c r="O393" s="251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1:51" s="33" customFormat="1" ht="13.8">
      <c r="A394" s="137"/>
      <c r="B394" s="137"/>
      <c r="C394" s="137"/>
      <c r="D394" s="137"/>
      <c r="E394" s="137"/>
      <c r="F394" s="137"/>
      <c r="G394" s="137"/>
      <c r="H394" s="43"/>
      <c r="I394" s="43"/>
      <c r="J394" s="43"/>
      <c r="K394" s="43"/>
      <c r="L394" s="43"/>
      <c r="M394" s="43"/>
      <c r="N394" s="43"/>
      <c r="O394" s="251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1:51" s="33" customFormat="1" ht="13.8">
      <c r="A395" s="137"/>
      <c r="B395" s="137"/>
      <c r="C395" s="137"/>
      <c r="D395" s="137"/>
      <c r="E395" s="137"/>
      <c r="F395" s="137"/>
      <c r="G395" s="137"/>
      <c r="H395" s="43"/>
      <c r="I395" s="43"/>
      <c r="J395" s="43"/>
      <c r="K395" s="43"/>
      <c r="L395" s="43"/>
      <c r="M395" s="43"/>
      <c r="N395" s="43"/>
      <c r="O395" s="251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1:51" s="33" customFormat="1" ht="13.8">
      <c r="A396" s="137"/>
      <c r="B396" s="137"/>
      <c r="C396" s="137"/>
      <c r="D396" s="137"/>
      <c r="E396" s="137"/>
      <c r="F396" s="137"/>
      <c r="G396" s="137"/>
      <c r="H396" s="43"/>
      <c r="I396" s="43"/>
      <c r="J396" s="43"/>
      <c r="K396" s="43"/>
      <c r="L396" s="43"/>
      <c r="M396" s="43"/>
      <c r="N396" s="43"/>
      <c r="O396" s="251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1:51" s="33" customFormat="1" ht="13.8">
      <c r="A397" s="137"/>
      <c r="B397" s="137"/>
      <c r="C397" s="137"/>
      <c r="D397" s="137"/>
      <c r="E397" s="137"/>
      <c r="F397" s="137"/>
      <c r="G397" s="137"/>
      <c r="H397" s="43"/>
      <c r="I397" s="43"/>
      <c r="J397" s="43"/>
      <c r="K397" s="43"/>
      <c r="L397" s="43"/>
      <c r="M397" s="43"/>
      <c r="N397" s="43"/>
      <c r="O397" s="251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1:51" s="33" customFormat="1" ht="13.8">
      <c r="A398" s="137"/>
      <c r="B398" s="137"/>
      <c r="C398" s="137"/>
      <c r="D398" s="137"/>
      <c r="E398" s="137"/>
      <c r="F398" s="137"/>
      <c r="G398" s="137"/>
      <c r="H398" s="43"/>
      <c r="I398" s="43"/>
      <c r="J398" s="43"/>
      <c r="K398" s="43"/>
      <c r="L398" s="43"/>
      <c r="M398" s="43"/>
      <c r="N398" s="43"/>
      <c r="O398" s="251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1:51" s="33" customFormat="1" ht="13.8">
      <c r="A399" s="137"/>
      <c r="B399" s="137"/>
      <c r="C399" s="137"/>
      <c r="D399" s="137"/>
      <c r="E399" s="137"/>
      <c r="F399" s="137"/>
      <c r="G399" s="137"/>
      <c r="H399" s="43"/>
      <c r="I399" s="43"/>
      <c r="J399" s="43"/>
      <c r="K399" s="43"/>
      <c r="L399" s="43"/>
      <c r="M399" s="43"/>
      <c r="N399" s="43"/>
      <c r="O399" s="251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1:51" s="33" customFormat="1" ht="13.8">
      <c r="A400" s="137"/>
      <c r="B400" s="137"/>
      <c r="C400" s="137"/>
      <c r="D400" s="137"/>
      <c r="E400" s="137"/>
      <c r="F400" s="137"/>
      <c r="G400" s="137"/>
      <c r="H400" s="43"/>
      <c r="I400" s="43"/>
      <c r="J400" s="43"/>
      <c r="K400" s="43"/>
      <c r="L400" s="43"/>
      <c r="M400" s="43"/>
      <c r="N400" s="43"/>
      <c r="O400" s="251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1:51" s="33" customFormat="1" ht="13.8">
      <c r="A401" s="339" t="s">
        <v>127</v>
      </c>
      <c r="B401" s="340"/>
      <c r="C401" s="340"/>
      <c r="D401" s="340"/>
      <c r="E401" s="340"/>
      <c r="F401" s="341"/>
      <c r="G401" s="137"/>
      <c r="H401" s="43"/>
      <c r="I401" s="43"/>
      <c r="J401" s="43"/>
      <c r="K401" s="43"/>
      <c r="L401" s="43"/>
      <c r="M401" s="43"/>
      <c r="N401" s="43"/>
      <c r="O401" s="251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1:51" s="33" customFormat="1" ht="13.8">
      <c r="A402" s="138" t="s">
        <v>38</v>
      </c>
      <c r="B402" s="337" t="s">
        <v>27</v>
      </c>
      <c r="C402" s="338"/>
      <c r="D402" s="337" t="s">
        <v>68</v>
      </c>
      <c r="E402" s="338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  <c r="O402" s="251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1:51" s="33" customFormat="1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  <c r="O403" s="251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1:51" s="33" customFormat="1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  <c r="O404" s="251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1:51" s="33" customFormat="1" ht="13.8">
      <c r="A405" s="144"/>
      <c r="B405" s="138">
        <v>2024</v>
      </c>
      <c r="C405" s="138">
        <v>2025</v>
      </c>
      <c r="D405" s="138" t="s">
        <v>141</v>
      </c>
      <c r="E405" s="138" t="s">
        <v>237</v>
      </c>
      <c r="F405" s="145"/>
      <c r="G405" s="137"/>
      <c r="H405" s="43"/>
      <c r="I405" s="43"/>
      <c r="J405" s="43"/>
      <c r="K405" s="43"/>
      <c r="L405" s="43"/>
      <c r="M405" s="43"/>
      <c r="N405" s="43"/>
      <c r="O405" s="251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1:51" s="33" customFormat="1" ht="13.8">
      <c r="A406" s="146" t="s">
        <v>203</v>
      </c>
      <c r="B406" s="150">
        <f ca="1">IFERROR(B246+B326,"")</f>
        <v>146817.04399999999</v>
      </c>
      <c r="C406" s="150">
        <f ca="1">IFERROR(C246+C326,"")</f>
        <v>-43242.869930000161</v>
      </c>
      <c r="D406" s="150">
        <f>IFERROR(D246+D326,"")</f>
        <v>-143280.36466666666</v>
      </c>
      <c r="E406" s="150">
        <f>IFERROR(E246+E326,"")</f>
        <v>-167726.63558333303</v>
      </c>
      <c r="F406" s="150">
        <f ca="1">IFERROR(C406-E406,"")</f>
        <v>124483.76565333287</v>
      </c>
      <c r="G406" s="137"/>
      <c r="H406" s="43"/>
      <c r="I406" s="43"/>
      <c r="J406" s="43"/>
      <c r="K406" s="43"/>
      <c r="L406" s="43"/>
      <c r="M406" s="43"/>
      <c r="N406" s="43"/>
      <c r="O406" s="251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1:51" s="33" customFormat="1" ht="13.8">
      <c r="A407" s="146" t="s">
        <v>204</v>
      </c>
      <c r="B407" s="150">
        <f t="shared" ref="B407:E417" ca="1" si="39">IFERROR(B247+B327,"")</f>
        <v>33202.188000000082</v>
      </c>
      <c r="C407" s="150">
        <f t="shared" ca="1" si="39"/>
        <v>-191834.16246999998</v>
      </c>
      <c r="D407" s="150">
        <f t="shared" si="39"/>
        <v>-286560.72933333332</v>
      </c>
      <c r="E407" s="150">
        <f t="shared" si="39"/>
        <v>-335453.27116666606</v>
      </c>
      <c r="F407" s="150">
        <f t="shared" ref="F407:F417" ca="1" si="40">IFERROR(C407-E407,"")</f>
        <v>143619.10869666608</v>
      </c>
      <c r="G407" s="137"/>
      <c r="H407" s="43"/>
      <c r="I407" s="43"/>
      <c r="J407" s="43"/>
      <c r="K407" s="43"/>
      <c r="L407" s="43"/>
      <c r="M407" s="43"/>
      <c r="N407" s="43"/>
      <c r="O407" s="251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1:51" s="33" customFormat="1" ht="13.8">
      <c r="A408" s="146" t="s">
        <v>205</v>
      </c>
      <c r="B408" s="150">
        <f t="shared" ca="1" si="39"/>
        <v>-42828.847999999765</v>
      </c>
      <c r="C408" s="150">
        <f t="shared" ca="1" si="39"/>
        <v>-668725.92059999937</v>
      </c>
      <c r="D408" s="150">
        <f t="shared" si="39"/>
        <v>-429841.09400000004</v>
      </c>
      <c r="E408" s="150">
        <f t="shared" si="39"/>
        <v>-503179.90674999915</v>
      </c>
      <c r="F408" s="150">
        <f t="shared" ca="1" si="40"/>
        <v>-165546.01385000022</v>
      </c>
      <c r="G408" s="137"/>
      <c r="H408" s="43"/>
      <c r="I408" s="43"/>
      <c r="J408" s="43"/>
      <c r="K408" s="43"/>
      <c r="L408" s="43"/>
      <c r="M408" s="43"/>
      <c r="N408" s="43"/>
      <c r="O408" s="251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1:51" s="33" customFormat="1" ht="13.8">
      <c r="A409" s="146" t="s">
        <v>206</v>
      </c>
      <c r="B409" s="150">
        <f t="shared" ca="1" si="39"/>
        <v>-234189.40100000054</v>
      </c>
      <c r="C409" s="150">
        <f t="shared" ca="1" si="39"/>
        <v>-919998.77300999966</v>
      </c>
      <c r="D409" s="150">
        <f t="shared" si="39"/>
        <v>-573121.45866666664</v>
      </c>
      <c r="E409" s="150">
        <f t="shared" si="39"/>
        <v>-670906.54233333212</v>
      </c>
      <c r="F409" s="150">
        <f t="shared" ca="1" si="40"/>
        <v>-249092.23067666753</v>
      </c>
      <c r="G409" s="137"/>
      <c r="H409" s="43"/>
      <c r="I409" s="43"/>
      <c r="J409" s="43"/>
      <c r="K409" s="43"/>
      <c r="L409" s="43"/>
      <c r="M409" s="43"/>
      <c r="N409" s="43"/>
      <c r="O409" s="251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1:51" s="33" customFormat="1" ht="13.8">
      <c r="A410" s="146" t="s">
        <v>207</v>
      </c>
      <c r="B410" s="150">
        <f ca="1">IFERROR(B250+B330,"")</f>
        <v>126401.6519999993</v>
      </c>
      <c r="C410" s="150" t="str">
        <f t="shared" ca="1" si="39"/>
        <v/>
      </c>
      <c r="D410" s="150">
        <f t="shared" si="39"/>
        <v>-716401.82333333348</v>
      </c>
      <c r="E410" s="150">
        <f t="shared" si="39"/>
        <v>-838633.17791666533</v>
      </c>
      <c r="F410" s="150" t="str">
        <f t="shared" ca="1" si="40"/>
        <v/>
      </c>
      <c r="G410" s="137"/>
      <c r="H410" s="43"/>
      <c r="I410" s="43"/>
      <c r="J410" s="43"/>
      <c r="K410" s="43"/>
      <c r="L410" s="43"/>
      <c r="M410" s="43"/>
      <c r="N410" s="43"/>
      <c r="O410" s="251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1:51" s="33" customFormat="1" ht="13.8">
      <c r="A411" s="146" t="s">
        <v>208</v>
      </c>
      <c r="B411" s="150">
        <f t="shared" ca="1" si="39"/>
        <v>464364.6120000002</v>
      </c>
      <c r="C411" s="150" t="str">
        <f t="shared" ca="1" si="39"/>
        <v/>
      </c>
      <c r="D411" s="150">
        <f t="shared" si="39"/>
        <v>-859682.18800000008</v>
      </c>
      <c r="E411" s="150">
        <f t="shared" si="39"/>
        <v>-1006359.8134999983</v>
      </c>
      <c r="F411" s="150" t="str">
        <f t="shared" ca="1" si="40"/>
        <v/>
      </c>
      <c r="G411" s="137"/>
      <c r="H411" s="43"/>
      <c r="I411" s="43"/>
      <c r="J411" s="43"/>
      <c r="K411" s="43"/>
      <c r="L411" s="43"/>
      <c r="M411" s="43"/>
      <c r="N411" s="43"/>
      <c r="O411" s="251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1:51" s="33" customFormat="1" ht="13.8">
      <c r="A412" s="146" t="s">
        <v>209</v>
      </c>
      <c r="B412" s="150">
        <f t="shared" ca="1" si="39"/>
        <v>462840.99600000074</v>
      </c>
      <c r="C412" s="150" t="str">
        <f t="shared" ca="1" si="39"/>
        <v/>
      </c>
      <c r="D412" s="150">
        <f t="shared" si="39"/>
        <v>-1002962.5526666668</v>
      </c>
      <c r="E412" s="150">
        <f t="shared" si="39"/>
        <v>-1174086.4490833315</v>
      </c>
      <c r="F412" s="150" t="str">
        <f t="shared" ca="1" si="40"/>
        <v/>
      </c>
      <c r="G412" s="137"/>
      <c r="H412" s="43"/>
      <c r="I412" s="43"/>
      <c r="J412" s="43"/>
      <c r="K412" s="43"/>
      <c r="L412" s="43"/>
      <c r="M412" s="43"/>
      <c r="N412" s="43"/>
      <c r="O412" s="251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1:51" s="33" customFormat="1" ht="13.8">
      <c r="A413" s="146" t="s">
        <v>210</v>
      </c>
      <c r="B413" s="150">
        <f t="shared" ca="1" si="39"/>
        <v>497759.50500000035</v>
      </c>
      <c r="C413" s="150" t="str">
        <f t="shared" ca="1" si="39"/>
        <v/>
      </c>
      <c r="D413" s="150">
        <f t="shared" si="39"/>
        <v>-1146242.9173333333</v>
      </c>
      <c r="E413" s="150">
        <f t="shared" si="39"/>
        <v>-1341813.0846666642</v>
      </c>
      <c r="F413" s="150" t="str">
        <f t="shared" ca="1" si="40"/>
        <v/>
      </c>
      <c r="G413" s="137"/>
      <c r="H413" s="43"/>
      <c r="I413" s="43"/>
      <c r="J413" s="43"/>
      <c r="K413" s="43"/>
      <c r="L413" s="43"/>
      <c r="M413" s="43"/>
      <c r="N413" s="43"/>
      <c r="O413" s="251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1:51" s="33" customFormat="1" ht="13.8">
      <c r="A414" s="146" t="s">
        <v>211</v>
      </c>
      <c r="B414" s="150">
        <f t="shared" ca="1" si="39"/>
        <v>435425.90899999999</v>
      </c>
      <c r="C414" s="150" t="str">
        <f t="shared" ca="1" si="39"/>
        <v/>
      </c>
      <c r="D414" s="150">
        <f t="shared" si="39"/>
        <v>-1289523.2820000001</v>
      </c>
      <c r="E414" s="150">
        <f t="shared" si="39"/>
        <v>-1509539.7202499975</v>
      </c>
      <c r="F414" s="150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  <c r="O414" s="251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1:51" s="33" customFormat="1" ht="13.8">
      <c r="A415" s="146" t="s">
        <v>212</v>
      </c>
      <c r="B415" s="150">
        <f t="shared" ca="1" si="39"/>
        <v>134422.77000000002</v>
      </c>
      <c r="C415" s="150" t="str">
        <f t="shared" ca="1" si="39"/>
        <v/>
      </c>
      <c r="D415" s="150">
        <f t="shared" si="39"/>
        <v>-1432803.646666667</v>
      </c>
      <c r="E415" s="150">
        <f t="shared" si="39"/>
        <v>-1677266.3558333307</v>
      </c>
      <c r="F415" s="150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  <c r="O415" s="251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1:51" s="33" customFormat="1" ht="13.8">
      <c r="A416" s="146" t="s">
        <v>213</v>
      </c>
      <c r="B416" s="150">
        <f t="shared" ca="1" si="39"/>
        <v>-104520.40700000059</v>
      </c>
      <c r="C416" s="150" t="str">
        <f t="shared" ca="1" si="39"/>
        <v/>
      </c>
      <c r="D416" s="150">
        <f t="shared" si="39"/>
        <v>-1576084.0113333333</v>
      </c>
      <c r="E416" s="150">
        <f t="shared" si="39"/>
        <v>-1844992.9914166636</v>
      </c>
      <c r="F416" s="150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  <c r="O416" s="251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1:51" s="33" customFormat="1" ht="13.8">
      <c r="A417" s="146" t="s">
        <v>214</v>
      </c>
      <c r="B417" s="150">
        <f t="shared" ca="1" si="39"/>
        <v>-745484.38300000038</v>
      </c>
      <c r="C417" s="150" t="str">
        <f t="shared" ca="1" si="39"/>
        <v/>
      </c>
      <c r="D417" s="150">
        <f t="shared" si="39"/>
        <v>-1719364.3760000002</v>
      </c>
      <c r="E417" s="150">
        <f t="shared" si="39"/>
        <v>-2012719.6269999966</v>
      </c>
      <c r="F417" s="150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  <c r="O417" s="251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1:51" s="33" customFormat="1" ht="13.8">
      <c r="A418" s="137"/>
      <c r="B418" s="137"/>
      <c r="C418" s="137"/>
      <c r="D418" s="137"/>
      <c r="E418" s="137"/>
      <c r="F418" s="137"/>
      <c r="G418" s="137"/>
      <c r="H418" s="43"/>
      <c r="I418" s="43"/>
      <c r="J418" s="43"/>
      <c r="K418" s="43"/>
      <c r="L418" s="43"/>
      <c r="M418" s="43"/>
      <c r="N418" s="43"/>
      <c r="O418" s="251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1:51" s="33" customFormat="1" ht="13.8">
      <c r="A419" s="137"/>
      <c r="B419" s="137"/>
      <c r="C419" s="137"/>
      <c r="D419" s="137"/>
      <c r="E419" s="137"/>
      <c r="F419" s="137"/>
      <c r="G419" s="137"/>
      <c r="H419" s="43"/>
      <c r="I419" s="43"/>
      <c r="J419" s="43"/>
      <c r="K419" s="43"/>
      <c r="L419" s="43"/>
      <c r="M419" s="43"/>
      <c r="N419" s="43"/>
      <c r="O419" s="251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1:51" s="33" customFormat="1" ht="13.8">
      <c r="A420" s="137"/>
      <c r="B420" s="137"/>
      <c r="C420" s="137"/>
      <c r="D420" s="137"/>
      <c r="E420" s="137"/>
      <c r="F420" s="137"/>
      <c r="G420" s="137"/>
      <c r="H420" s="43"/>
      <c r="I420" s="43"/>
      <c r="J420" s="43"/>
      <c r="K420" s="43"/>
      <c r="L420" s="43"/>
      <c r="M420" s="43"/>
      <c r="N420" s="43"/>
      <c r="O420" s="251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1:51" s="33" customFormat="1" ht="13.8">
      <c r="A421" s="137"/>
      <c r="B421" s="137"/>
      <c r="C421" s="137"/>
      <c r="D421" s="137"/>
      <c r="E421" s="137"/>
      <c r="F421" s="137"/>
      <c r="G421" s="137"/>
      <c r="H421" s="43"/>
      <c r="I421" s="43"/>
      <c r="J421" s="43"/>
      <c r="K421" s="43"/>
      <c r="L421" s="43"/>
      <c r="M421" s="43"/>
      <c r="N421" s="43"/>
      <c r="O421" s="251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1:51" s="33" customFormat="1" ht="13.8">
      <c r="A422" s="137"/>
      <c r="B422" s="137"/>
      <c r="C422" s="137"/>
      <c r="D422" s="137"/>
      <c r="E422" s="137"/>
      <c r="F422" s="137"/>
      <c r="G422" s="137"/>
      <c r="H422" s="43"/>
      <c r="I422" s="43"/>
      <c r="J422" s="43"/>
      <c r="K422" s="43"/>
      <c r="L422" s="43"/>
      <c r="M422" s="43"/>
      <c r="N422" s="43"/>
      <c r="O422" s="251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1:51" s="33" customFormat="1" ht="13.8">
      <c r="A423" s="137"/>
      <c r="B423" s="137"/>
      <c r="C423" s="137"/>
      <c r="D423" s="137"/>
      <c r="E423" s="137"/>
      <c r="F423" s="137"/>
      <c r="G423" s="137"/>
      <c r="H423" s="43"/>
      <c r="I423" s="43"/>
      <c r="J423" s="43"/>
      <c r="K423" s="43"/>
      <c r="L423" s="43"/>
      <c r="M423" s="43"/>
      <c r="N423" s="43"/>
      <c r="O423" s="251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1:51" s="33" customFormat="1" ht="13.8">
      <c r="A424" s="137"/>
      <c r="B424" s="137"/>
      <c r="C424" s="137"/>
      <c r="D424" s="137"/>
      <c r="E424" s="137"/>
      <c r="F424" s="137"/>
      <c r="G424" s="137"/>
      <c r="H424" s="43"/>
      <c r="I424" s="43"/>
      <c r="J424" s="43"/>
      <c r="K424" s="43"/>
      <c r="L424" s="43"/>
      <c r="M424" s="43"/>
      <c r="N424" s="43"/>
      <c r="O424" s="251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1:51" s="33" customFormat="1" ht="13.8">
      <c r="A425" s="137"/>
      <c r="B425" s="137"/>
      <c r="C425" s="137"/>
      <c r="D425" s="137"/>
      <c r="E425" s="137"/>
      <c r="F425" s="137"/>
      <c r="G425" s="137"/>
      <c r="H425" s="43"/>
      <c r="I425" s="43"/>
      <c r="J425" s="43"/>
      <c r="K425" s="43"/>
      <c r="L425" s="43"/>
      <c r="M425" s="43"/>
      <c r="N425" s="43"/>
      <c r="O425" s="251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1:51" s="33" customFormat="1" ht="13.8">
      <c r="A426" s="137"/>
      <c r="B426" s="137"/>
      <c r="C426" s="137"/>
      <c r="D426" s="137"/>
      <c r="E426" s="137"/>
      <c r="F426" s="137"/>
      <c r="G426" s="137"/>
      <c r="H426" s="43"/>
      <c r="I426" s="43"/>
      <c r="J426" s="43"/>
      <c r="K426" s="43"/>
      <c r="L426" s="43"/>
      <c r="M426" s="43"/>
      <c r="N426" s="43"/>
      <c r="O426" s="251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1:51" s="33" customFormat="1" ht="13.8">
      <c r="A427" s="137"/>
      <c r="B427" s="137"/>
      <c r="C427" s="137"/>
      <c r="D427" s="137"/>
      <c r="E427" s="137"/>
      <c r="F427" s="137"/>
      <c r="G427" s="137"/>
      <c r="H427" s="43"/>
      <c r="I427" s="43"/>
      <c r="J427" s="43"/>
      <c r="K427" s="43"/>
      <c r="L427" s="43"/>
      <c r="M427" s="43"/>
      <c r="N427" s="43"/>
      <c r="O427" s="251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1:51" s="33" customFormat="1" ht="13.8">
      <c r="A428" s="137"/>
      <c r="B428" s="137"/>
      <c r="C428" s="137"/>
      <c r="D428" s="137"/>
      <c r="E428" s="137"/>
      <c r="F428" s="137"/>
      <c r="G428" s="137"/>
      <c r="H428" s="43"/>
      <c r="I428" s="43"/>
      <c r="J428" s="43"/>
      <c r="K428" s="43"/>
      <c r="L428" s="43"/>
      <c r="M428" s="43"/>
      <c r="N428" s="43"/>
      <c r="O428" s="251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1:51" s="33" customFormat="1" ht="13.8">
      <c r="A429" s="137"/>
      <c r="B429" s="137"/>
      <c r="C429" s="137"/>
      <c r="D429" s="137"/>
      <c r="E429" s="137"/>
      <c r="F429" s="137"/>
      <c r="G429" s="137"/>
      <c r="H429" s="43"/>
      <c r="I429" s="43"/>
      <c r="J429" s="43"/>
      <c r="K429" s="43"/>
      <c r="L429" s="43"/>
      <c r="M429" s="43"/>
      <c r="N429" s="43"/>
      <c r="O429" s="251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1:51" s="33" customFormat="1" ht="13.8">
      <c r="A430" s="137"/>
      <c r="B430" s="137"/>
      <c r="C430" s="137"/>
      <c r="D430" s="137"/>
      <c r="E430" s="137"/>
      <c r="F430" s="137"/>
      <c r="G430" s="137"/>
      <c r="H430" s="43"/>
      <c r="I430" s="43"/>
      <c r="J430" s="43"/>
      <c r="K430" s="43"/>
      <c r="L430" s="43"/>
      <c r="M430" s="43"/>
      <c r="N430" s="43"/>
      <c r="O430" s="251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1:51" s="33" customFormat="1" ht="13.8">
      <c r="A431" s="137"/>
      <c r="B431" s="137"/>
      <c r="C431" s="137"/>
      <c r="D431" s="137"/>
      <c r="E431" s="137"/>
      <c r="F431" s="137"/>
      <c r="G431" s="137"/>
      <c r="H431" s="43"/>
      <c r="I431" s="43"/>
      <c r="J431" s="43"/>
      <c r="K431" s="43"/>
      <c r="L431" s="43"/>
      <c r="M431" s="43"/>
      <c r="N431" s="43"/>
      <c r="O431" s="251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1:51" s="33" customFormat="1" ht="13.8">
      <c r="A432" s="137"/>
      <c r="B432" s="137"/>
      <c r="C432" s="137"/>
      <c r="D432" s="137"/>
      <c r="E432" s="137"/>
      <c r="F432" s="137"/>
      <c r="G432" s="137"/>
      <c r="H432" s="43"/>
      <c r="I432" s="43"/>
      <c r="J432" s="43"/>
      <c r="K432" s="43"/>
      <c r="L432" s="43"/>
      <c r="M432" s="43"/>
      <c r="N432" s="43"/>
      <c r="O432" s="251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1:51" s="33" customFormat="1" ht="13.8">
      <c r="A433" s="137"/>
      <c r="B433" s="137"/>
      <c r="C433" s="137"/>
      <c r="D433" s="137"/>
      <c r="E433" s="137"/>
      <c r="F433" s="137"/>
      <c r="G433" s="137"/>
      <c r="H433" s="43"/>
      <c r="I433" s="43"/>
      <c r="J433" s="43"/>
      <c r="K433" s="43"/>
      <c r="L433" s="43"/>
      <c r="M433" s="43"/>
      <c r="N433" s="43"/>
      <c r="O433" s="251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1:51" s="33" customFormat="1" ht="13.8">
      <c r="A434" s="137"/>
      <c r="B434" s="137"/>
      <c r="C434" s="137"/>
      <c r="D434" s="137"/>
      <c r="E434" s="137"/>
      <c r="F434" s="137"/>
      <c r="G434" s="137"/>
      <c r="H434" s="43"/>
      <c r="I434" s="43"/>
      <c r="J434" s="43"/>
      <c r="K434" s="43"/>
      <c r="L434" s="43"/>
      <c r="M434" s="43"/>
      <c r="N434" s="43"/>
      <c r="O434" s="251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1:51" s="33" customFormat="1" ht="13.8">
      <c r="A435" s="137"/>
      <c r="B435" s="137"/>
      <c r="C435" s="137"/>
      <c r="D435" s="137"/>
      <c r="E435" s="137"/>
      <c r="F435" s="137"/>
      <c r="G435" s="137"/>
      <c r="H435" s="43"/>
      <c r="I435" s="43"/>
      <c r="J435" s="43"/>
      <c r="K435" s="43"/>
      <c r="L435" s="43"/>
      <c r="M435" s="43"/>
      <c r="N435" s="43"/>
      <c r="O435" s="251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1:51" s="33" customFormat="1" ht="13.8">
      <c r="A436" s="137"/>
      <c r="B436" s="137"/>
      <c r="C436" s="137"/>
      <c r="D436" s="137"/>
      <c r="E436" s="137"/>
      <c r="F436" s="137"/>
      <c r="G436" s="137"/>
      <c r="H436" s="43"/>
      <c r="I436" s="43"/>
      <c r="J436" s="43"/>
      <c r="K436" s="43"/>
      <c r="L436" s="43"/>
      <c r="M436" s="43"/>
      <c r="N436" s="43"/>
      <c r="O436" s="251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1:51" s="33" customFormat="1" ht="13.8">
      <c r="A437" s="137"/>
      <c r="B437" s="137"/>
      <c r="C437" s="137"/>
      <c r="D437" s="137"/>
      <c r="E437" s="137"/>
      <c r="F437" s="137"/>
      <c r="G437" s="137"/>
      <c r="H437" s="43"/>
      <c r="I437" s="43"/>
      <c r="J437" s="43"/>
      <c r="K437" s="43"/>
      <c r="L437" s="43"/>
      <c r="M437" s="43"/>
      <c r="N437" s="43"/>
      <c r="O437" s="251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1:51" s="33" customFormat="1" ht="13.8">
      <c r="A438" s="339" t="s">
        <v>128</v>
      </c>
      <c r="B438" s="340"/>
      <c r="C438" s="340"/>
      <c r="D438" s="340"/>
      <c r="E438" s="340"/>
      <c r="F438" s="341"/>
      <c r="G438" s="137"/>
      <c r="H438" s="43"/>
      <c r="I438" s="43"/>
      <c r="J438" s="43"/>
      <c r="K438" s="43"/>
      <c r="L438" s="43"/>
      <c r="M438" s="43"/>
      <c r="N438" s="43"/>
      <c r="O438" s="251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1:51" s="33" customFormat="1" ht="13.8">
      <c r="A439" s="138" t="s">
        <v>38</v>
      </c>
      <c r="B439" s="337" t="s">
        <v>27</v>
      </c>
      <c r="C439" s="338"/>
      <c r="D439" s="337" t="s">
        <v>68</v>
      </c>
      <c r="E439" s="338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  <c r="O439" s="251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1:51" s="33" customFormat="1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  <c r="O440" s="251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1:51" s="33" customFormat="1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  <c r="O441" s="251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1:51" s="33" customFormat="1" ht="13.8">
      <c r="A442" s="144"/>
      <c r="B442" s="138">
        <v>2024</v>
      </c>
      <c r="C442" s="138">
        <v>2025</v>
      </c>
      <c r="D442" s="138" t="s">
        <v>141</v>
      </c>
      <c r="E442" s="138" t="s">
        <v>237</v>
      </c>
      <c r="F442" s="145"/>
      <c r="G442" s="137"/>
      <c r="H442" s="43"/>
      <c r="I442" s="43"/>
      <c r="J442" s="43"/>
      <c r="K442" s="43"/>
      <c r="L442" s="43"/>
      <c r="M442" s="43"/>
      <c r="N442" s="43"/>
      <c r="O442" s="251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1:51" s="33" customFormat="1" ht="13.8">
      <c r="A443" s="146" t="s">
        <v>203</v>
      </c>
      <c r="B443" s="147">
        <f ca="1">IFERROR(B286+B367,"")</f>
        <v>0.36514033837914617</v>
      </c>
      <c r="C443" s="147">
        <f ca="1">IFERROR(C286+C367,"")</f>
        <v>-0.10306551638294201</v>
      </c>
      <c r="D443" s="147">
        <f>IFERROR(D286+D367,"")</f>
        <v>-0.35634446391301899</v>
      </c>
      <c r="E443" s="147">
        <f>IFERROR(E286+E367,"")</f>
        <v>-0.39976144820066273</v>
      </c>
      <c r="F443" s="147">
        <f ca="1">IFERROR(C443-E443,"")</f>
        <v>0.29669593181772069</v>
      </c>
      <c r="G443" s="137"/>
      <c r="H443" s="43"/>
      <c r="I443" s="43"/>
      <c r="J443" s="43"/>
      <c r="K443" s="43"/>
      <c r="L443" s="43"/>
      <c r="M443" s="43"/>
      <c r="N443" s="43"/>
      <c r="O443" s="251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1:51" s="33" customFormat="1" ht="13.8">
      <c r="A444" s="146" t="s">
        <v>204</v>
      </c>
      <c r="B444" s="147">
        <f t="shared" ref="B444:E454" ca="1" si="41">IFERROR(B287+B368,"")</f>
        <v>8.2575277576410394E-2</v>
      </c>
      <c r="C444" s="147">
        <f t="shared" ca="1" si="41"/>
        <v>-0.45721958433529142</v>
      </c>
      <c r="D444" s="147">
        <f t="shared" si="41"/>
        <v>-0.71268892782603799</v>
      </c>
      <c r="E444" s="147">
        <f t="shared" si="41"/>
        <v>-0.79952289640132546</v>
      </c>
      <c r="F444" s="147">
        <f t="shared" ref="F444:F454" ca="1" si="42">IFERROR(C444-E444,"")</f>
        <v>0.34230331206603404</v>
      </c>
      <c r="G444" s="137"/>
      <c r="H444" s="43"/>
      <c r="I444" s="43"/>
      <c r="J444" s="43"/>
      <c r="K444" s="43"/>
      <c r="L444" s="43"/>
      <c r="M444" s="43"/>
      <c r="N444" s="43"/>
      <c r="O444" s="251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1:51" s="33" customFormat="1" ht="13.8">
      <c r="A445" s="146" t="s">
        <v>205</v>
      </c>
      <c r="B445" s="147">
        <f t="shared" ca="1" si="41"/>
        <v>-0.10651719735692902</v>
      </c>
      <c r="C445" s="147">
        <f t="shared" ca="1" si="41"/>
        <v>-1.5938484757571907</v>
      </c>
      <c r="D445" s="147">
        <f t="shared" si="41"/>
        <v>-1.0690333917390571</v>
      </c>
      <c r="E445" s="147">
        <f t="shared" si="41"/>
        <v>-1.1992843446019883</v>
      </c>
      <c r="F445" s="147">
        <f t="shared" ca="1" si="42"/>
        <v>-0.39456413115520239</v>
      </c>
      <c r="G445" s="137"/>
      <c r="H445" s="43"/>
      <c r="I445" s="43"/>
      <c r="J445" s="43"/>
      <c r="K445" s="43"/>
      <c r="L445" s="43"/>
      <c r="M445" s="43"/>
      <c r="N445" s="43"/>
      <c r="O445" s="251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1:51" s="33" customFormat="1" ht="13.8">
      <c r="A446" s="146" t="s">
        <v>206</v>
      </c>
      <c r="B446" s="147">
        <f t="shared" ca="1" si="41"/>
        <v>-0.58243916916042626</v>
      </c>
      <c r="C446" s="147">
        <f t="shared" ca="1" si="41"/>
        <v>-2.192734866243609</v>
      </c>
      <c r="D446" s="147">
        <f t="shared" si="41"/>
        <v>-1.425377855652076</v>
      </c>
      <c r="E446" s="147">
        <f t="shared" si="41"/>
        <v>-1.5990457928026509</v>
      </c>
      <c r="F446" s="147">
        <f t="shared" ca="1" si="42"/>
        <v>-0.59368907344095811</v>
      </c>
      <c r="G446" s="137"/>
      <c r="H446" s="43"/>
      <c r="I446" s="43"/>
      <c r="J446" s="43"/>
      <c r="K446" s="43"/>
      <c r="L446" s="43"/>
      <c r="M446" s="43"/>
      <c r="N446" s="43"/>
      <c r="O446" s="251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1:51" s="33" customFormat="1" ht="13.8">
      <c r="A447" s="146" t="s">
        <v>207</v>
      </c>
      <c r="B447" s="147">
        <f t="shared" ca="1" si="41"/>
        <v>0.31436637549358931</v>
      </c>
      <c r="C447" s="147" t="str">
        <f t="shared" ca="1" si="41"/>
        <v/>
      </c>
      <c r="D447" s="147">
        <f t="shared" si="41"/>
        <v>-1.7817223195650953</v>
      </c>
      <c r="E447" s="147">
        <f t="shared" si="41"/>
        <v>-1.998807241003314</v>
      </c>
      <c r="F447" s="147" t="str">
        <f t="shared" ca="1" si="42"/>
        <v/>
      </c>
      <c r="G447" s="137"/>
      <c r="H447" s="43"/>
      <c r="I447" s="43"/>
      <c r="J447" s="43"/>
      <c r="K447" s="43"/>
      <c r="L447" s="43"/>
      <c r="M447" s="43"/>
      <c r="N447" s="43"/>
      <c r="O447" s="251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1:51" s="33" customFormat="1" ht="13.8">
      <c r="A448" s="146" t="s">
        <v>208</v>
      </c>
      <c r="B448" s="147">
        <f t="shared" ca="1" si="41"/>
        <v>1.1548948741740162</v>
      </c>
      <c r="C448" s="147" t="str">
        <f t="shared" ca="1" si="41"/>
        <v/>
      </c>
      <c r="D448" s="147">
        <f t="shared" si="41"/>
        <v>-2.1380667834781142</v>
      </c>
      <c r="E448" s="147">
        <f t="shared" si="41"/>
        <v>-2.3985686892039766</v>
      </c>
      <c r="F448" s="147" t="str">
        <f t="shared" ca="1" si="42"/>
        <v/>
      </c>
      <c r="G448" s="137"/>
      <c r="H448" s="43"/>
      <c r="I448" s="43"/>
      <c r="J448" s="43"/>
      <c r="K448" s="43"/>
      <c r="L448" s="43"/>
      <c r="M448" s="43"/>
      <c r="N448" s="43"/>
      <c r="O448" s="251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1:51" s="33" customFormat="1" ht="13.8">
      <c r="A449" s="146" t="s">
        <v>209</v>
      </c>
      <c r="B449" s="147">
        <f t="shared" ca="1" si="41"/>
        <v>1.1511055752844426</v>
      </c>
      <c r="C449" s="147" t="str">
        <f t="shared" ca="1" si="41"/>
        <v/>
      </c>
      <c r="D449" s="147">
        <f t="shared" si="41"/>
        <v>-2.4944112473911337</v>
      </c>
      <c r="E449" s="147">
        <f t="shared" si="41"/>
        <v>-2.7983301374046397</v>
      </c>
      <c r="F449" s="147" t="str">
        <f t="shared" ca="1" si="42"/>
        <v/>
      </c>
      <c r="G449" s="137"/>
      <c r="H449" s="43"/>
      <c r="I449" s="43"/>
      <c r="J449" s="43"/>
      <c r="K449" s="43"/>
      <c r="L449" s="43"/>
      <c r="M449" s="43"/>
      <c r="N449" s="43"/>
      <c r="O449" s="251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1:51" s="33" customFormat="1" ht="13.8">
      <c r="A450" s="146" t="s">
        <v>210</v>
      </c>
      <c r="B450" s="147">
        <f t="shared" ca="1" si="41"/>
        <v>1.2379494174200676</v>
      </c>
      <c r="C450" s="147" t="str">
        <f t="shared" ca="1" si="41"/>
        <v/>
      </c>
      <c r="D450" s="147">
        <f t="shared" si="41"/>
        <v>-2.850755711304152</v>
      </c>
      <c r="E450" s="147">
        <f t="shared" si="41"/>
        <v>-3.1980915856053018</v>
      </c>
      <c r="F450" s="147" t="str">
        <f t="shared" ca="1" si="42"/>
        <v/>
      </c>
      <c r="G450" s="137"/>
      <c r="H450" s="43"/>
      <c r="I450" s="43"/>
      <c r="J450" s="43"/>
      <c r="K450" s="43"/>
      <c r="L450" s="43"/>
      <c r="M450" s="43"/>
      <c r="N450" s="43"/>
      <c r="O450" s="251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1:51" s="33" customFormat="1" ht="13.8">
      <c r="A451" s="146" t="s">
        <v>211</v>
      </c>
      <c r="B451" s="147">
        <f t="shared" ca="1" si="41"/>
        <v>1.082923068191642</v>
      </c>
      <c r="C451" s="147" t="str">
        <f t="shared" ca="1" si="41"/>
        <v/>
      </c>
      <c r="D451" s="147">
        <f t="shared" si="41"/>
        <v>-3.2071001752171719</v>
      </c>
      <c r="E451" s="147">
        <f t="shared" si="41"/>
        <v>-3.5978530338059649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  <c r="O451" s="251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1:51" s="33" customFormat="1" ht="13.8">
      <c r="A452" s="146" t="s">
        <v>212</v>
      </c>
      <c r="B452" s="147">
        <f t="shared" ca="1" si="41"/>
        <v>0.33431524287917236</v>
      </c>
      <c r="C452" s="147" t="str">
        <f t="shared" ca="1" si="41"/>
        <v/>
      </c>
      <c r="D452" s="147">
        <f t="shared" si="41"/>
        <v>-3.5634446391301906</v>
      </c>
      <c r="E452" s="147">
        <f t="shared" si="41"/>
        <v>-3.9976144820066279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  <c r="O452" s="251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1:51" s="33" customFormat="1" ht="13.8">
      <c r="A453" s="146" t="s">
        <v>213</v>
      </c>
      <c r="B453" s="147">
        <f t="shared" ca="1" si="41"/>
        <v>-0.25994677279775702</v>
      </c>
      <c r="C453" s="147" t="str">
        <f t="shared" ca="1" si="41"/>
        <v/>
      </c>
      <c r="D453" s="147">
        <f t="shared" si="41"/>
        <v>-3.9197891030432093</v>
      </c>
      <c r="E453" s="147">
        <f t="shared" si="41"/>
        <v>-4.397375930207291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  <c r="O453" s="251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1:51" s="33" customFormat="1" ht="13.8">
      <c r="A454" s="146" t="s">
        <v>214</v>
      </c>
      <c r="B454" s="147">
        <f t="shared" ca="1" si="41"/>
        <v>-1.8540519032993821</v>
      </c>
      <c r="C454" s="147" t="str">
        <f t="shared" ca="1" si="41"/>
        <v/>
      </c>
      <c r="D454" s="147">
        <f t="shared" si="41"/>
        <v>-4.2761335669562284</v>
      </c>
      <c r="E454" s="147">
        <f t="shared" si="41"/>
        <v>-4.7971373784079532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  <c r="O454" s="251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1:51" s="33" customFormat="1" ht="13.8">
      <c r="A455" s="137"/>
      <c r="B455" s="137"/>
      <c r="C455" s="137"/>
      <c r="D455" s="137"/>
      <c r="E455" s="137"/>
      <c r="F455" s="137"/>
      <c r="G455" s="137"/>
      <c r="H455" s="43"/>
      <c r="I455" s="43"/>
      <c r="J455" s="43"/>
      <c r="K455" s="43"/>
      <c r="L455" s="43"/>
      <c r="M455" s="43"/>
      <c r="N455" s="43"/>
      <c r="O455" s="251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1:51" s="33" customFormat="1" ht="13.8">
      <c r="A456" s="137"/>
      <c r="B456" s="137"/>
      <c r="C456" s="137"/>
      <c r="D456" s="137"/>
      <c r="E456" s="137"/>
      <c r="F456" s="137"/>
      <c r="G456" s="137"/>
      <c r="H456" s="43"/>
      <c r="I456" s="43"/>
      <c r="J456" s="43"/>
      <c r="K456" s="43"/>
      <c r="L456" s="43"/>
      <c r="M456" s="43"/>
      <c r="N456" s="43"/>
      <c r="O456" s="251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1:51" s="33" customFormat="1" ht="13.8">
      <c r="A457" s="137"/>
      <c r="B457" s="137"/>
      <c r="C457" s="137"/>
      <c r="D457" s="137"/>
      <c r="E457" s="137"/>
      <c r="F457" s="137"/>
      <c r="G457" s="137"/>
      <c r="H457" s="43"/>
      <c r="I457" s="43"/>
      <c r="J457" s="43"/>
      <c r="K457" s="43"/>
      <c r="L457" s="43"/>
      <c r="M457" s="43"/>
      <c r="N457" s="43"/>
      <c r="O457" s="251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1:51" s="33" customFormat="1" ht="13.8">
      <c r="A458" s="137"/>
      <c r="B458" s="137"/>
      <c r="C458" s="137"/>
      <c r="D458" s="137"/>
      <c r="E458" s="137"/>
      <c r="F458" s="137"/>
      <c r="G458" s="137"/>
      <c r="H458" s="43"/>
      <c r="I458" s="43"/>
      <c r="J458" s="43"/>
      <c r="K458" s="43"/>
      <c r="L458" s="43"/>
      <c r="M458" s="43"/>
      <c r="N458" s="43"/>
      <c r="O458" s="251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1:51" s="33" customFormat="1" ht="13.8">
      <c r="A459" s="137"/>
      <c r="B459" s="137"/>
      <c r="C459" s="137"/>
      <c r="D459" s="137"/>
      <c r="E459" s="137"/>
      <c r="F459" s="137"/>
      <c r="G459" s="137"/>
      <c r="H459" s="43"/>
      <c r="I459" s="43"/>
      <c r="J459" s="43"/>
      <c r="K459" s="43"/>
      <c r="L459" s="43"/>
      <c r="M459" s="43"/>
      <c r="N459" s="43"/>
      <c r="O459" s="251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1:51" s="33" customFormat="1" ht="13.8">
      <c r="A460" s="137"/>
      <c r="B460" s="137"/>
      <c r="C460" s="137"/>
      <c r="D460" s="137"/>
      <c r="E460" s="137"/>
      <c r="F460" s="137"/>
      <c r="G460" s="137"/>
      <c r="H460" s="43"/>
      <c r="I460" s="43"/>
      <c r="J460" s="43"/>
      <c r="K460" s="43"/>
      <c r="L460" s="43"/>
      <c r="M460" s="43"/>
      <c r="N460" s="43"/>
      <c r="O460" s="251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1:51" s="33" customFormat="1" ht="13.8">
      <c r="A461" s="137"/>
      <c r="B461" s="137"/>
      <c r="C461" s="137"/>
      <c r="D461" s="137"/>
      <c r="E461" s="137"/>
      <c r="F461" s="137"/>
      <c r="G461" s="137"/>
      <c r="H461" s="43"/>
      <c r="I461" s="43"/>
      <c r="J461" s="43"/>
      <c r="K461" s="43"/>
      <c r="L461" s="43"/>
      <c r="M461" s="43"/>
      <c r="N461" s="43"/>
      <c r="O461" s="251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1:51" s="33" customFormat="1" ht="13.8">
      <c r="A462" s="137"/>
      <c r="B462" s="137"/>
      <c r="C462" s="137"/>
      <c r="D462" s="137"/>
      <c r="E462" s="137"/>
      <c r="F462" s="137"/>
      <c r="G462" s="137"/>
      <c r="H462" s="43"/>
      <c r="I462" s="43"/>
      <c r="J462" s="43"/>
      <c r="K462" s="43"/>
      <c r="L462" s="43"/>
      <c r="M462" s="43"/>
      <c r="N462" s="43"/>
      <c r="O462" s="251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1:51" s="33" customFormat="1" ht="13.8">
      <c r="A463" s="137"/>
      <c r="B463" s="137"/>
      <c r="C463" s="137"/>
      <c r="D463" s="137"/>
      <c r="E463" s="137"/>
      <c r="F463" s="137"/>
      <c r="G463" s="137"/>
      <c r="H463" s="43"/>
      <c r="I463" s="43"/>
      <c r="J463" s="43"/>
      <c r="K463" s="43"/>
      <c r="L463" s="43"/>
      <c r="M463" s="43"/>
      <c r="N463" s="43"/>
      <c r="O463" s="251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1:51" s="33" customFormat="1" ht="13.8">
      <c r="A464" s="137"/>
      <c r="B464" s="137"/>
      <c r="C464" s="137"/>
      <c r="D464" s="137"/>
      <c r="E464" s="137"/>
      <c r="F464" s="137"/>
      <c r="G464" s="137"/>
      <c r="H464" s="43"/>
      <c r="I464" s="43"/>
      <c r="J464" s="43"/>
      <c r="K464" s="43"/>
      <c r="L464" s="43"/>
      <c r="M464" s="43"/>
      <c r="N464" s="43"/>
      <c r="O464" s="251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1:51" s="33" customFormat="1" ht="13.8">
      <c r="A465" s="137"/>
      <c r="B465" s="137"/>
      <c r="C465" s="137"/>
      <c r="D465" s="137"/>
      <c r="E465" s="137"/>
      <c r="F465" s="137"/>
      <c r="G465" s="137"/>
      <c r="H465" s="43"/>
      <c r="I465" s="43"/>
      <c r="J465" s="43"/>
      <c r="K465" s="43"/>
      <c r="L465" s="43"/>
      <c r="M465" s="43"/>
      <c r="N465" s="43"/>
      <c r="O465" s="251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1:51" s="33" customFormat="1" ht="13.8">
      <c r="A466" s="137"/>
      <c r="B466" s="137"/>
      <c r="C466" s="137"/>
      <c r="D466" s="137"/>
      <c r="E466" s="137"/>
      <c r="F466" s="137"/>
      <c r="G466" s="137"/>
      <c r="H466" s="43"/>
      <c r="I466" s="43"/>
      <c r="J466" s="43"/>
      <c r="K466" s="43"/>
      <c r="L466" s="43"/>
      <c r="M466" s="43"/>
      <c r="N466" s="43"/>
      <c r="O466" s="251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1:51" s="33" customFormat="1" ht="13.8">
      <c r="A467" s="137"/>
      <c r="B467" s="137"/>
      <c r="C467" s="137"/>
      <c r="D467" s="137"/>
      <c r="E467" s="137"/>
      <c r="F467" s="137"/>
      <c r="G467" s="137"/>
      <c r="H467" s="43"/>
      <c r="I467" s="43"/>
      <c r="J467" s="43"/>
      <c r="K467" s="43"/>
      <c r="L467" s="43"/>
      <c r="M467" s="43"/>
      <c r="N467" s="43"/>
      <c r="O467" s="251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1:51" s="33" customFormat="1" ht="13.8">
      <c r="A468" s="137"/>
      <c r="B468" s="137"/>
      <c r="C468" s="137"/>
      <c r="D468" s="137"/>
      <c r="E468" s="137"/>
      <c r="F468" s="137"/>
      <c r="G468" s="137"/>
      <c r="H468" s="43"/>
      <c r="I468" s="43"/>
      <c r="J468" s="43"/>
      <c r="K468" s="43"/>
      <c r="L468" s="43"/>
      <c r="M468" s="43"/>
      <c r="N468" s="43"/>
      <c r="O468" s="251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1:51" s="33" customFormat="1" ht="13.8">
      <c r="A469" s="137"/>
      <c r="B469" s="137"/>
      <c r="C469" s="137"/>
      <c r="D469" s="137"/>
      <c r="E469" s="137"/>
      <c r="F469" s="137"/>
      <c r="G469" s="137"/>
      <c r="H469" s="43"/>
      <c r="I469" s="43"/>
      <c r="J469" s="43"/>
      <c r="K469" s="43"/>
      <c r="L469" s="43"/>
      <c r="M469" s="43"/>
      <c r="N469" s="43"/>
      <c r="O469" s="251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1:51" s="33" customFormat="1" ht="13.8">
      <c r="A470" s="137"/>
      <c r="B470" s="137"/>
      <c r="C470" s="137"/>
      <c r="D470" s="137"/>
      <c r="E470" s="137"/>
      <c r="F470" s="137"/>
      <c r="G470" s="137"/>
      <c r="H470" s="43"/>
      <c r="I470" s="43"/>
      <c r="J470" s="43"/>
      <c r="K470" s="43"/>
      <c r="L470" s="43"/>
      <c r="M470" s="43"/>
      <c r="N470" s="43"/>
      <c r="O470" s="251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1:51" s="33" customFormat="1" ht="13.8">
      <c r="A471" s="137"/>
      <c r="B471" s="137"/>
      <c r="C471" s="137"/>
      <c r="D471" s="137"/>
      <c r="E471" s="137"/>
      <c r="F471" s="137"/>
      <c r="G471" s="137"/>
      <c r="H471" s="43"/>
      <c r="I471" s="43"/>
      <c r="J471" s="43"/>
      <c r="K471" s="43"/>
      <c r="L471" s="43"/>
      <c r="M471" s="43"/>
      <c r="N471" s="43"/>
      <c r="O471" s="251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1:51" s="33" customFormat="1" ht="13.8">
      <c r="A472" s="137"/>
      <c r="B472" s="137"/>
      <c r="C472" s="137"/>
      <c r="D472" s="137"/>
      <c r="E472" s="137"/>
      <c r="F472" s="137"/>
      <c r="G472" s="137"/>
      <c r="H472" s="43"/>
      <c r="I472" s="43"/>
      <c r="J472" s="43"/>
      <c r="K472" s="43"/>
      <c r="L472" s="43"/>
      <c r="M472" s="43"/>
      <c r="N472" s="43"/>
      <c r="O472" s="251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1:51" s="33" customFormat="1" ht="13.8">
      <c r="A473" s="137"/>
      <c r="B473" s="137"/>
      <c r="C473" s="137"/>
      <c r="D473" s="137"/>
      <c r="E473" s="137"/>
      <c r="F473" s="137"/>
      <c r="G473" s="137"/>
      <c r="H473" s="43"/>
      <c r="I473" s="43"/>
      <c r="J473" s="43"/>
      <c r="K473" s="43"/>
      <c r="L473" s="43"/>
      <c r="M473" s="43"/>
      <c r="N473" s="43"/>
      <c r="O473" s="251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1:51" s="33" customFormat="1" ht="13.8">
      <c r="A474" s="137"/>
      <c r="B474" s="137"/>
      <c r="C474" s="137"/>
      <c r="D474" s="137"/>
      <c r="E474" s="137"/>
      <c r="F474" s="137"/>
      <c r="G474" s="137"/>
      <c r="H474" s="43"/>
      <c r="I474" s="43"/>
      <c r="J474" s="43"/>
      <c r="K474" s="43"/>
      <c r="L474" s="43"/>
      <c r="M474" s="43"/>
      <c r="N474" s="43"/>
      <c r="O474" s="251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1:51" s="33" customFormat="1" ht="13.8">
      <c r="A475" s="137"/>
      <c r="B475" s="137"/>
      <c r="C475" s="137"/>
      <c r="D475" s="137"/>
      <c r="E475" s="137"/>
      <c r="F475" s="137"/>
      <c r="G475" s="137"/>
      <c r="H475" s="43"/>
      <c r="I475" s="43"/>
      <c r="J475" s="43"/>
      <c r="K475" s="43"/>
      <c r="L475" s="43"/>
      <c r="M475" s="43"/>
      <c r="N475" s="43"/>
      <c r="O475" s="251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1:51" s="33" customFormat="1" ht="13.8">
      <c r="A476" s="339" t="s">
        <v>113</v>
      </c>
      <c r="B476" s="340"/>
      <c r="C476" s="340"/>
      <c r="D476" s="340"/>
      <c r="E476" s="340"/>
      <c r="F476" s="341"/>
      <c r="G476" s="137"/>
      <c r="H476" s="43"/>
      <c r="I476" s="43"/>
      <c r="J476" s="43"/>
      <c r="K476" s="43"/>
      <c r="L476" s="43"/>
      <c r="M476" s="43"/>
      <c r="N476" s="43"/>
      <c r="O476" s="251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1:51" s="33" customFormat="1" ht="13.8">
      <c r="A477" s="138" t="s">
        <v>38</v>
      </c>
      <c r="B477" s="337" t="s">
        <v>27</v>
      </c>
      <c r="C477" s="338"/>
      <c r="D477" s="337" t="s">
        <v>68</v>
      </c>
      <c r="E477" s="338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  <c r="O477" s="251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1:51" s="33" customFormat="1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  <c r="O478" s="251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1:51" s="33" customFormat="1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  <c r="O479" s="251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1:51" s="33" customFormat="1" ht="13.8">
      <c r="A480" s="144"/>
      <c r="B480" s="138">
        <v>2024</v>
      </c>
      <c r="C480" s="138">
        <v>2025</v>
      </c>
      <c r="D480" s="138" t="s">
        <v>141</v>
      </c>
      <c r="E480" s="138" t="s">
        <v>237</v>
      </c>
      <c r="F480" s="145"/>
      <c r="G480" s="137"/>
      <c r="H480" s="43"/>
      <c r="I480" s="43"/>
      <c r="J480" s="43"/>
      <c r="K480" s="43"/>
      <c r="L480" s="43"/>
      <c r="M480" s="43"/>
      <c r="N480" s="43"/>
      <c r="O480" s="251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1:51" s="33" customFormat="1" ht="13.8">
      <c r="A481" s="146" t="s">
        <v>203</v>
      </c>
      <c r="B481" s="150">
        <f ca="1">IF(INDIRECT(ADDRESS(ROW('1'!AK$38),COLUMN('1'!AA10)+ROW(A2)+52,1,1,"1"))="","",INDIRECT(ADDRESS(ROW('1'!AK$38),COLUMN('1'!AA10)+ROW(A1)+52,1,1,"1")))</f>
        <v>86956.73000000004</v>
      </c>
      <c r="C481" s="150">
        <f ca="1">IF(INDIRECT(ADDRESS(ROW('1'!AK$38),COLUMN('1'!AA10)+ROW(A2)+65,1,1,"1"))="","",INDIRECT(ADDRESS(ROW('1'!AK$38),COLUMN('1'!AA10)+ROW(A1)+65,1,1,"1")))</f>
        <v>69077.213999999978</v>
      </c>
      <c r="D481" s="150">
        <f>'1'!$CN$38*ROW(A1)/12</f>
        <v>-5483.9022233062033</v>
      </c>
      <c r="E481" s="150">
        <f>'1'!$CS$38*ROW(A1)/12</f>
        <v>833.32687776718137</v>
      </c>
      <c r="F481" s="150">
        <f ca="1">IFERROR(C481-E481,"")</f>
        <v>68243.887122232802</v>
      </c>
      <c r="G481" s="137"/>
      <c r="H481" s="43"/>
      <c r="I481" s="43"/>
      <c r="J481" s="43"/>
      <c r="K481" s="43"/>
      <c r="L481" s="43"/>
      <c r="M481" s="43"/>
      <c r="N481" s="43"/>
      <c r="O481" s="251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1:51" s="33" customFormat="1" ht="13.8">
      <c r="A482" s="146" t="s">
        <v>204</v>
      </c>
      <c r="B482" s="150">
        <f ca="1">IF(INDIRECT(ADDRESS(ROW('1'!AK$38),COLUMN('1'!AA11)+ROW(A3)+52,1,1,"1"))="","",INDIRECT(ADDRESS(ROW('1'!AK$38),COLUMN('1'!AA11)+ROW(A2)+52,1,1,"1")))</f>
        <v>128177.75699999998</v>
      </c>
      <c r="C482" s="150">
        <f ca="1">IF(INDIRECT(ADDRESS(ROW('1'!AK$38),COLUMN('1'!AA11)+ROW(A3)+65,1,1,"1"))="","",INDIRECT(ADDRESS(ROW('1'!AK$38),COLUMN('1'!AA11)+ROW(A2)+65,1,1,"1")))</f>
        <v>104693.23099999991</v>
      </c>
      <c r="D482" s="150">
        <f>'1'!$CN$38*ROW(A2)/12</f>
        <v>-10967.804446612407</v>
      </c>
      <c r="E482" s="150">
        <f>'1'!$CS$38*ROW(A2)/12</f>
        <v>1666.6537555343627</v>
      </c>
      <c r="F482" s="150">
        <f t="shared" ref="F482:F492" ca="1" si="43">IFERROR(C482-E482,"")</f>
        <v>103026.57724446554</v>
      </c>
      <c r="G482" s="137"/>
      <c r="H482" s="43"/>
      <c r="I482" s="43"/>
      <c r="J482" s="43"/>
      <c r="K482" s="43"/>
      <c r="L482" s="43"/>
      <c r="M482" s="43"/>
      <c r="N482" s="43"/>
      <c r="O482" s="251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1:51" s="33" customFormat="1" ht="13.8">
      <c r="A483" s="146" t="s">
        <v>205</v>
      </c>
      <c r="B483" s="150">
        <f ca="1">IF(INDIRECT(ADDRESS(ROW('1'!AK$38),COLUMN('1'!AA12)+ROW(A4)+52,1,1,"1"))="","",INDIRECT(ADDRESS(ROW('1'!AK$38),COLUMN('1'!AA12)+ROW(A3)+52,1,1,"1")))</f>
        <v>67846.929000000004</v>
      </c>
      <c r="C483" s="150">
        <f ca="1">IF(INDIRECT(ADDRESS(ROW('1'!AK$38),COLUMN('1'!AA12)+ROW(A4)+65,1,1,"1"))="","",INDIRECT(ADDRESS(ROW('1'!AK$38),COLUMN('1'!AA12)+ROW(A3)+65,1,1,"1")))</f>
        <v>134249.902</v>
      </c>
      <c r="D483" s="150">
        <f>'1'!$CN$38*ROW(A3)/12</f>
        <v>-16451.706669918611</v>
      </c>
      <c r="E483" s="150">
        <f>'1'!$CS$38*ROW(A3)/12</f>
        <v>2499.980633301544</v>
      </c>
      <c r="F483" s="150">
        <f t="shared" ca="1" si="43"/>
        <v>131749.92136669846</v>
      </c>
      <c r="G483" s="137"/>
      <c r="H483" s="43"/>
      <c r="I483" s="43"/>
      <c r="J483" s="43"/>
      <c r="K483" s="43"/>
      <c r="L483" s="43"/>
      <c r="M483" s="43"/>
      <c r="N483" s="43"/>
      <c r="O483" s="251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1:51" s="33" customFormat="1" ht="13.8">
      <c r="A484" s="146" t="s">
        <v>206</v>
      </c>
      <c r="B484" s="150">
        <f ca="1">IF(INDIRECT(ADDRESS(ROW('1'!AK$38),COLUMN('1'!AA13)+ROW(A5)+52,1,1,"1"))="","",INDIRECT(ADDRESS(ROW('1'!AK$38),COLUMN('1'!AA13)+ROW(A4)+52,1,1,"1")))</f>
        <v>79179.794999999925</v>
      </c>
      <c r="C484" s="150">
        <f ca="1">IF(INDIRECT(ADDRESS(ROW('1'!AK$38),COLUMN('1'!AA13)+ROW(A5)+65,1,1,"1"))="","",INDIRECT(ADDRESS(ROW('1'!AK$38),COLUMN('1'!AA13)+ROW(A4)+65,1,1,"1")))</f>
        <v>118577.598</v>
      </c>
      <c r="D484" s="150">
        <f>'1'!$CN$38*ROW(A4)/12</f>
        <v>-21935.608893224813</v>
      </c>
      <c r="E484" s="150">
        <f>'1'!$CS$38*ROW(A4)/12</f>
        <v>3333.3075110687255</v>
      </c>
      <c r="F484" s="150">
        <f t="shared" ca="1" si="43"/>
        <v>115244.29048893128</v>
      </c>
      <c r="G484" s="137"/>
      <c r="H484" s="43"/>
      <c r="I484" s="43"/>
      <c r="J484" s="43"/>
      <c r="K484" s="43"/>
      <c r="L484" s="43"/>
      <c r="M484" s="43"/>
      <c r="N484" s="43"/>
      <c r="O484" s="251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1:51" s="33" customFormat="1" ht="13.8">
      <c r="A485" s="146" t="s">
        <v>207</v>
      </c>
      <c r="B485" s="150">
        <f ca="1">IF(INDIRECT(ADDRESS(ROW('1'!AK$38),COLUMN('1'!AA14)+ROW(A6)+52,1,1,"1"))="","",INDIRECT(ADDRESS(ROW('1'!AK$38),COLUMN('1'!AA14)+ROW(A5)+52,1,1,"1")))</f>
        <v>77228.06799999997</v>
      </c>
      <c r="C485" s="150" t="str">
        <f ca="1">IF(INDIRECT(ADDRESS(ROW('1'!AK$38),COLUMN('1'!AA14)+ROW(A6)+65,1,1,"1"))="","",INDIRECT(ADDRESS(ROW('1'!AK$38),COLUMN('1'!AA14)+ROW(A5)+65,1,1,"1")))</f>
        <v/>
      </c>
      <c r="D485" s="150">
        <f>'1'!$CN$38*ROW(A5)/12</f>
        <v>-27419.511116531019</v>
      </c>
      <c r="E485" s="150">
        <f>'1'!$CS$38*ROW(A5)/12</f>
        <v>4166.634388835907</v>
      </c>
      <c r="F485" s="150" t="str">
        <f t="shared" ca="1" si="43"/>
        <v/>
      </c>
      <c r="G485" s="137"/>
      <c r="H485" s="43"/>
      <c r="I485" s="43"/>
      <c r="J485" s="43"/>
      <c r="K485" s="43"/>
      <c r="L485" s="43"/>
      <c r="M485" s="43"/>
      <c r="N485" s="43"/>
      <c r="O485" s="251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1:51" s="33" customFormat="1" ht="13.8">
      <c r="A486" s="146" t="s">
        <v>208</v>
      </c>
      <c r="B486" s="150">
        <f ca="1">IF(INDIRECT(ADDRESS(ROW('1'!AK$38),COLUMN('1'!AA15)+ROW(A7)+52,1,1,"1"))="","",INDIRECT(ADDRESS(ROW('1'!AK$38),COLUMN('1'!AA15)+ROW(A6)+52,1,1,"1")))</f>
        <v>95650.273000000045</v>
      </c>
      <c r="C486" s="150" t="str">
        <f ca="1">IF(INDIRECT(ADDRESS(ROW('1'!AK$38),COLUMN('1'!AA15)+ROW(A7)+65,1,1,"1"))="","",INDIRECT(ADDRESS(ROW('1'!AK$38),COLUMN('1'!AA15)+ROW(A6)+65,1,1,"1")))</f>
        <v/>
      </c>
      <c r="D486" s="150">
        <f>'1'!$CN$38*ROW(A6)/12</f>
        <v>-32903.413339837221</v>
      </c>
      <c r="E486" s="150">
        <f>'1'!$CS$38*ROW(A6)/12</f>
        <v>4999.961266603088</v>
      </c>
      <c r="F486" s="150" t="str">
        <f t="shared" ca="1" si="43"/>
        <v/>
      </c>
      <c r="G486" s="137"/>
      <c r="H486" s="43"/>
      <c r="I486" s="43"/>
      <c r="J486" s="43"/>
      <c r="K486" s="43"/>
      <c r="L486" s="43"/>
      <c r="M486" s="43"/>
      <c r="N486" s="43"/>
      <c r="O486" s="251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1:51" s="33" customFormat="1" ht="13.8">
      <c r="A487" s="146" t="s">
        <v>209</v>
      </c>
      <c r="B487" s="150">
        <f ca="1">IF(INDIRECT(ADDRESS(ROW('1'!AK$38),COLUMN('1'!AA16)+ROW(A8)+52,1,1,"1"))="","",INDIRECT(ADDRESS(ROW('1'!AK$38),COLUMN('1'!AA16)+ROW(A7)+52,1,1,"1")))</f>
        <v>58257.898000000045</v>
      </c>
      <c r="C487" s="150" t="str">
        <f ca="1">IF(INDIRECT(ADDRESS(ROW('1'!AK$38),COLUMN('1'!AA16)+ROW(A8)+65,1,1,"1"))="","",INDIRECT(ADDRESS(ROW('1'!AK$38),COLUMN('1'!AA16)+ROW(A7)+65,1,1,"1")))</f>
        <v/>
      </c>
      <c r="D487" s="150">
        <f>'1'!$CN$38*ROW(A7)/12</f>
        <v>-38387.315563143427</v>
      </c>
      <c r="E487" s="150">
        <f>'1'!$CS$38*ROW(A7)/12</f>
        <v>5833.288144370269</v>
      </c>
      <c r="F487" s="150" t="str">
        <f t="shared" ca="1" si="43"/>
        <v/>
      </c>
      <c r="G487" s="137"/>
      <c r="H487" s="43"/>
      <c r="I487" s="43"/>
      <c r="J487" s="43"/>
      <c r="K487" s="43"/>
      <c r="L487" s="43"/>
      <c r="M487" s="43"/>
      <c r="N487" s="43"/>
      <c r="O487" s="251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1:51" s="33" customFormat="1" ht="13.8">
      <c r="A488" s="146" t="s">
        <v>210</v>
      </c>
      <c r="B488" s="150">
        <f ca="1">IF(INDIRECT(ADDRESS(ROW('1'!AK$38),COLUMN('1'!AA17)+ROW(A9)+52,1,1,"1"))="","",INDIRECT(ADDRESS(ROW('1'!AK$38),COLUMN('1'!AA17)+ROW(A8)+52,1,1,"1")))</f>
        <v>84890.712000000291</v>
      </c>
      <c r="C488" s="150" t="str">
        <f ca="1">IF(INDIRECT(ADDRESS(ROW('1'!AK$38),COLUMN('1'!AA17)+ROW(A9)+65,1,1,"1"))="","",INDIRECT(ADDRESS(ROW('1'!AK$38),COLUMN('1'!AA17)+ROW(A8)+65,1,1,"1")))</f>
        <v/>
      </c>
      <c r="D488" s="150">
        <f>'1'!$CN$38*ROW(A8)/12</f>
        <v>-43871.217786449626</v>
      </c>
      <c r="E488" s="150">
        <f>'1'!$CS$38*ROW(A8)/12</f>
        <v>6666.615022137451</v>
      </c>
      <c r="F488" s="150" t="str">
        <f t="shared" ca="1" si="43"/>
        <v/>
      </c>
      <c r="G488" s="137"/>
      <c r="H488" s="43"/>
      <c r="I488" s="43"/>
      <c r="J488" s="43"/>
      <c r="K488" s="43"/>
      <c r="L488" s="43"/>
      <c r="M488" s="43"/>
      <c r="N488" s="43"/>
      <c r="O488" s="251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1:51" s="33" customFormat="1" ht="13.8">
      <c r="A489" s="146" t="s">
        <v>211</v>
      </c>
      <c r="B489" s="150">
        <f ca="1">IF(INDIRECT(ADDRESS(ROW('1'!AK$38),COLUMN('1'!AA18)+ROW(A10)+52,1,1,"1"))="","",INDIRECT(ADDRESS(ROW('1'!AK$38),COLUMN('1'!AA18)+ROW(A9)+52,1,1,"1")))</f>
        <v>109611.87800000003</v>
      </c>
      <c r="C489" s="150" t="str">
        <f ca="1">IF(INDIRECT(ADDRESS(ROW('1'!AK$38),COLUMN('1'!AA18)+ROW(A10)+65,1,1,"1"))="","",INDIRECT(ADDRESS(ROW('1'!AK$38),COLUMN('1'!AA18)+ROW(A9)+65,1,1,"1")))</f>
        <v/>
      </c>
      <c r="D489" s="150">
        <f>'1'!$CN$38*ROW(A9)/12</f>
        <v>-49355.120009755832</v>
      </c>
      <c r="E489" s="150">
        <f>'1'!$CS$38*ROW(A9)/12</f>
        <v>7499.941899904632</v>
      </c>
      <c r="F489" s="150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  <c r="O489" s="251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1:51" s="33" customFormat="1" ht="13.8">
      <c r="A490" s="146" t="s">
        <v>212</v>
      </c>
      <c r="B490" s="150">
        <f ca="1">IF(INDIRECT(ADDRESS(ROW('1'!AK$38),COLUMN('1'!AA19)+ROW(A11)+52,1,1,"1"))="","",INDIRECT(ADDRESS(ROW('1'!AK$38),COLUMN('1'!AA19)+ROW(A10)+52,1,1,"1")))</f>
        <v>115883.18699999992</v>
      </c>
      <c r="C490" s="150" t="str">
        <f ca="1">IF(INDIRECT(ADDRESS(ROW('1'!AK$38),COLUMN('1'!AA19)+ROW(A11)+65,1,1,"1"))="","",INDIRECT(ADDRESS(ROW('1'!AK$38),COLUMN('1'!AA19)+ROW(A10)+65,1,1,"1")))</f>
        <v/>
      </c>
      <c r="D490" s="150">
        <f>'1'!$CN$38*ROW(A10)/12</f>
        <v>-54839.022233062038</v>
      </c>
      <c r="E490" s="150">
        <f>'1'!$CS$38*ROW(A10)/12</f>
        <v>8333.268777671814</v>
      </c>
      <c r="F490" s="150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  <c r="O490" s="251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1:51" s="33" customFormat="1" ht="13.8">
      <c r="A491" s="146" t="s">
        <v>213</v>
      </c>
      <c r="B491" s="150">
        <f ca="1">IF(INDIRECT(ADDRESS(ROW('1'!AK$38),COLUMN('1'!AA20)+ROW(A12)+52,1,1,"1"))="","",INDIRECT(ADDRESS(ROW('1'!AK$38),COLUMN('1'!AA20)+ROW(A11)+52,1,1,"1")))</f>
        <v>101113.06300000008</v>
      </c>
      <c r="C491" s="150" t="str">
        <f ca="1">IF(INDIRECT(ADDRESS(ROW('1'!AK$38),COLUMN('1'!AA20)+ROW(A12)+65,1,1,"1"))="","",INDIRECT(ADDRESS(ROW('1'!AK$38),COLUMN('1'!AA20)+ROW(A11)+65,1,1,"1")))</f>
        <v/>
      </c>
      <c r="D491" s="150">
        <f>'1'!$CN$38*ROW(A11)/12</f>
        <v>-60322.924456368237</v>
      </c>
      <c r="E491" s="150">
        <f>'1'!$CS$38*ROW(A11)/12</f>
        <v>9166.5956554389941</v>
      </c>
      <c r="F491" s="150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  <c r="O491" s="251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1:51" s="33" customFormat="1" ht="13.8">
      <c r="A492" s="146" t="s">
        <v>214</v>
      </c>
      <c r="B492" s="150">
        <f ca="1">IF(INDIRECT(ADDRESS(ROW('1'!AK$38),COLUMN('1'!AA21)+ROW(A13)+52,1,1,"1"))="","",INDIRECT(ADDRESS(ROW('1'!AK$38),COLUMN('1'!AA21)+ROW(A12)+52,1,1,"1")))</f>
        <v>-48286.665000000037</v>
      </c>
      <c r="C492" s="150" t="str">
        <f ca="1">IF(INDIRECT(ADDRESS(ROW('1'!AK$38),COLUMN('1'!AA21)+ROW(A13)+65,1,1,"1"))="","",INDIRECT(ADDRESS(ROW('1'!AK$38),COLUMN('1'!AA21)+ROW(A12)+65,1,1,"1")))</f>
        <v/>
      </c>
      <c r="D492" s="150">
        <f>'1'!$CN$38*ROW(A12)/12</f>
        <v>-65806.826679674443</v>
      </c>
      <c r="E492" s="150">
        <f>'1'!$CS$38*ROW(A12)/12</f>
        <v>9999.922533206176</v>
      </c>
      <c r="F492" s="150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  <c r="O492" s="251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1:51" s="33" customFormat="1" ht="13.8">
      <c r="A493" s="137"/>
      <c r="B493" s="137"/>
      <c r="C493" s="137"/>
      <c r="D493" s="137"/>
      <c r="E493" s="137"/>
      <c r="F493" s="137"/>
      <c r="G493" s="137"/>
      <c r="H493" s="43"/>
      <c r="I493" s="43"/>
      <c r="J493" s="43"/>
      <c r="K493" s="43"/>
      <c r="L493" s="43"/>
      <c r="M493" s="43"/>
      <c r="N493" s="43"/>
      <c r="O493" s="251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1:51" s="33" customFormat="1" ht="13.8">
      <c r="A494" s="137"/>
      <c r="B494" s="137"/>
      <c r="C494" s="137"/>
      <c r="D494" s="137"/>
      <c r="E494" s="137"/>
      <c r="F494" s="137"/>
      <c r="G494" s="137"/>
      <c r="H494" s="43"/>
      <c r="I494" s="43"/>
      <c r="J494" s="43"/>
      <c r="K494" s="43"/>
      <c r="L494" s="43"/>
      <c r="M494" s="43"/>
      <c r="N494" s="43"/>
      <c r="O494" s="251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1:51" s="33" customFormat="1" ht="13.8">
      <c r="A495" s="137"/>
      <c r="B495" s="137"/>
      <c r="C495" s="137"/>
      <c r="D495" s="137"/>
      <c r="E495" s="137"/>
      <c r="F495" s="137"/>
      <c r="G495" s="137"/>
      <c r="H495" s="43"/>
      <c r="I495" s="43"/>
      <c r="J495" s="43"/>
      <c r="K495" s="43"/>
      <c r="L495" s="43"/>
      <c r="M495" s="43"/>
      <c r="N495" s="43"/>
      <c r="O495" s="251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1:51" s="33" customFormat="1" ht="13.8">
      <c r="A496" s="137"/>
      <c r="B496" s="137"/>
      <c r="C496" s="137"/>
      <c r="D496" s="137"/>
      <c r="E496" s="137"/>
      <c r="F496" s="137"/>
      <c r="G496" s="137"/>
      <c r="H496" s="43"/>
      <c r="I496" s="43"/>
      <c r="J496" s="43"/>
      <c r="K496" s="43"/>
      <c r="L496" s="43"/>
      <c r="M496" s="43"/>
      <c r="N496" s="43"/>
      <c r="O496" s="251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1:51" s="33" customFormat="1" ht="13.8">
      <c r="A497" s="137"/>
      <c r="B497" s="137"/>
      <c r="C497" s="137"/>
      <c r="D497" s="137"/>
      <c r="E497" s="137"/>
      <c r="F497" s="137"/>
      <c r="G497" s="137"/>
      <c r="H497" s="43"/>
      <c r="I497" s="43"/>
      <c r="J497" s="43"/>
      <c r="K497" s="43"/>
      <c r="L497" s="43"/>
      <c r="M497" s="43"/>
      <c r="N497" s="43"/>
      <c r="O497" s="251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1:51" s="33" customFormat="1" ht="13.8">
      <c r="A498" s="137"/>
      <c r="B498" s="137"/>
      <c r="C498" s="137"/>
      <c r="D498" s="137"/>
      <c r="E498" s="137"/>
      <c r="F498" s="137"/>
      <c r="G498" s="137"/>
      <c r="H498" s="43"/>
      <c r="I498" s="43"/>
      <c r="J498" s="43"/>
      <c r="K498" s="43"/>
      <c r="L498" s="43"/>
      <c r="M498" s="43"/>
      <c r="N498" s="43"/>
      <c r="O498" s="251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1:51" s="33" customFormat="1" ht="13.8">
      <c r="A499" s="137"/>
      <c r="B499" s="137"/>
      <c r="C499" s="137"/>
      <c r="D499" s="137"/>
      <c r="E499" s="137"/>
      <c r="F499" s="137"/>
      <c r="G499" s="137"/>
      <c r="H499" s="43"/>
      <c r="I499" s="43"/>
      <c r="J499" s="43"/>
      <c r="K499" s="43"/>
      <c r="L499" s="43"/>
      <c r="M499" s="43"/>
      <c r="N499" s="43"/>
      <c r="O499" s="251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1:51" s="33" customFormat="1" ht="13.8">
      <c r="A500" s="137"/>
      <c r="B500" s="137"/>
      <c r="C500" s="137"/>
      <c r="D500" s="137"/>
      <c r="E500" s="137"/>
      <c r="F500" s="137"/>
      <c r="G500" s="137"/>
      <c r="H500" s="43"/>
      <c r="I500" s="43"/>
      <c r="J500" s="43"/>
      <c r="K500" s="43"/>
      <c r="L500" s="43"/>
      <c r="M500" s="43"/>
      <c r="N500" s="43"/>
      <c r="O500" s="251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1:51" s="33" customFormat="1" ht="13.8">
      <c r="A501" s="137"/>
      <c r="B501" s="137"/>
      <c r="C501" s="137"/>
      <c r="D501" s="137"/>
      <c r="E501" s="137"/>
      <c r="F501" s="137"/>
      <c r="G501" s="137"/>
      <c r="H501" s="43"/>
      <c r="I501" s="43"/>
      <c r="J501" s="43"/>
      <c r="K501" s="43"/>
      <c r="L501" s="43"/>
      <c r="M501" s="43"/>
      <c r="N501" s="43"/>
      <c r="O501" s="251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1:51" s="33" customFormat="1" ht="13.8">
      <c r="A502" s="137"/>
      <c r="B502" s="137"/>
      <c r="C502" s="137"/>
      <c r="D502" s="137"/>
      <c r="E502" s="137"/>
      <c r="F502" s="137"/>
      <c r="G502" s="137"/>
      <c r="H502" s="43"/>
      <c r="I502" s="43"/>
      <c r="J502" s="43"/>
      <c r="K502" s="43"/>
      <c r="L502" s="43"/>
      <c r="M502" s="43"/>
      <c r="N502" s="43"/>
      <c r="O502" s="251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1:51" s="33" customFormat="1" ht="13.8">
      <c r="A503" s="137"/>
      <c r="B503" s="137"/>
      <c r="C503" s="137"/>
      <c r="D503" s="137"/>
      <c r="E503" s="137"/>
      <c r="F503" s="137"/>
      <c r="G503" s="137"/>
      <c r="H503" s="43"/>
      <c r="I503" s="43"/>
      <c r="J503" s="43"/>
      <c r="K503" s="43"/>
      <c r="L503" s="43"/>
      <c r="M503" s="43"/>
      <c r="N503" s="43"/>
      <c r="O503" s="251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1:51" s="33" customFormat="1" ht="13.8">
      <c r="A504" s="137"/>
      <c r="B504" s="137"/>
      <c r="C504" s="137"/>
      <c r="D504" s="137"/>
      <c r="E504" s="137"/>
      <c r="F504" s="137"/>
      <c r="G504" s="137"/>
      <c r="H504" s="43"/>
      <c r="I504" s="43"/>
      <c r="J504" s="43"/>
      <c r="K504" s="43"/>
      <c r="L504" s="43"/>
      <c r="M504" s="43"/>
      <c r="N504" s="43"/>
      <c r="O504" s="251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1:51" s="33" customFormat="1" ht="13.8">
      <c r="A505" s="137"/>
      <c r="B505" s="137"/>
      <c r="C505" s="137"/>
      <c r="D505" s="137"/>
      <c r="E505" s="137"/>
      <c r="F505" s="137"/>
      <c r="G505" s="137"/>
      <c r="H505" s="43"/>
      <c r="I505" s="43"/>
      <c r="J505" s="43"/>
      <c r="K505" s="43"/>
      <c r="L505" s="43"/>
      <c r="M505" s="43"/>
      <c r="N505" s="43"/>
      <c r="O505" s="251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1:51" s="33" customFormat="1" ht="13.8">
      <c r="A506" s="137"/>
      <c r="B506" s="137"/>
      <c r="C506" s="137"/>
      <c r="D506" s="137"/>
      <c r="E506" s="137"/>
      <c r="F506" s="137"/>
      <c r="G506" s="137"/>
      <c r="H506" s="43"/>
      <c r="I506" s="43"/>
      <c r="J506" s="43"/>
      <c r="K506" s="43"/>
      <c r="L506" s="43"/>
      <c r="M506" s="43"/>
      <c r="N506" s="43"/>
      <c r="O506" s="251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1:51" s="33" customFormat="1" ht="13.8">
      <c r="A507" s="137"/>
      <c r="B507" s="137"/>
      <c r="C507" s="137"/>
      <c r="D507" s="137"/>
      <c r="E507" s="137"/>
      <c r="F507" s="137"/>
      <c r="G507" s="137"/>
      <c r="H507" s="43"/>
      <c r="I507" s="43"/>
      <c r="J507" s="43"/>
      <c r="K507" s="43"/>
      <c r="L507" s="43"/>
      <c r="M507" s="43"/>
      <c r="N507" s="43"/>
      <c r="O507" s="251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1:51" s="33" customFormat="1" ht="13.8">
      <c r="A508" s="137"/>
      <c r="B508" s="137"/>
      <c r="C508" s="137"/>
      <c r="D508" s="137"/>
      <c r="E508" s="137"/>
      <c r="F508" s="137"/>
      <c r="G508" s="137"/>
      <c r="H508" s="43"/>
      <c r="I508" s="43"/>
      <c r="J508" s="43"/>
      <c r="K508" s="43"/>
      <c r="L508" s="43"/>
      <c r="M508" s="43"/>
      <c r="N508" s="43"/>
      <c r="O508" s="251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1:51" s="33" customFormat="1" ht="13.8">
      <c r="A509" s="137"/>
      <c r="B509" s="137"/>
      <c r="C509" s="137"/>
      <c r="D509" s="137"/>
      <c r="E509" s="137"/>
      <c r="F509" s="137"/>
      <c r="G509" s="137"/>
      <c r="H509" s="43"/>
      <c r="I509" s="43"/>
      <c r="J509" s="43"/>
      <c r="K509" s="43"/>
      <c r="L509" s="43"/>
      <c r="M509" s="43"/>
      <c r="N509" s="43"/>
      <c r="O509" s="251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1:51" s="33" customFormat="1" ht="13.8">
      <c r="A510" s="137"/>
      <c r="B510" s="137"/>
      <c r="C510" s="137"/>
      <c r="D510" s="137"/>
      <c r="E510" s="137"/>
      <c r="F510" s="137"/>
      <c r="G510" s="137"/>
      <c r="H510" s="43"/>
      <c r="I510" s="43"/>
      <c r="J510" s="43"/>
      <c r="K510" s="43"/>
      <c r="L510" s="43"/>
      <c r="M510" s="43"/>
      <c r="N510" s="43"/>
      <c r="O510" s="251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1:51" s="33" customFormat="1" ht="13.8">
      <c r="A511" s="137"/>
      <c r="B511" s="137"/>
      <c r="C511" s="137"/>
      <c r="D511" s="137"/>
      <c r="E511" s="137"/>
      <c r="F511" s="137"/>
      <c r="G511" s="137"/>
      <c r="H511" s="43"/>
      <c r="I511" s="43"/>
      <c r="J511" s="43"/>
      <c r="K511" s="43"/>
      <c r="L511" s="43"/>
      <c r="M511" s="43"/>
      <c r="N511" s="43"/>
      <c r="O511" s="251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1:51" s="33" customFormat="1" ht="13.8">
      <c r="A512" s="137"/>
      <c r="B512" s="137"/>
      <c r="C512" s="137"/>
      <c r="D512" s="137"/>
      <c r="E512" s="137"/>
      <c r="F512" s="137"/>
      <c r="G512" s="137"/>
      <c r="H512" s="43"/>
      <c r="I512" s="43"/>
      <c r="J512" s="43"/>
      <c r="K512" s="43"/>
      <c r="L512" s="43"/>
      <c r="M512" s="43"/>
      <c r="N512" s="43"/>
      <c r="O512" s="251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1:51" s="33" customFormat="1" ht="13.8">
      <c r="A513" s="137"/>
      <c r="B513" s="137"/>
      <c r="C513" s="137"/>
      <c r="D513" s="137"/>
      <c r="E513" s="137"/>
      <c r="F513" s="137"/>
      <c r="G513" s="137"/>
      <c r="H513" s="43"/>
      <c r="I513" s="43"/>
      <c r="J513" s="43"/>
      <c r="K513" s="43"/>
      <c r="L513" s="43"/>
      <c r="M513" s="43"/>
      <c r="N513" s="43"/>
      <c r="O513" s="251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1:51" s="33" customFormat="1" ht="13.8">
      <c r="A514" s="137"/>
      <c r="B514" s="137"/>
      <c r="C514" s="137"/>
      <c r="D514" s="137"/>
      <c r="E514" s="137"/>
      <c r="F514" s="137"/>
      <c r="G514" s="137"/>
      <c r="H514" s="43"/>
      <c r="I514" s="43"/>
      <c r="J514" s="43"/>
      <c r="K514" s="43"/>
      <c r="L514" s="43"/>
      <c r="M514" s="43"/>
      <c r="N514" s="43"/>
      <c r="O514" s="251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1:51" s="33" customFormat="1" ht="13.8">
      <c r="A515" s="137"/>
      <c r="B515" s="137"/>
      <c r="C515" s="137"/>
      <c r="D515" s="137"/>
      <c r="E515" s="137"/>
      <c r="F515" s="137"/>
      <c r="G515" s="137"/>
      <c r="H515" s="43"/>
      <c r="I515" s="43"/>
      <c r="J515" s="43"/>
      <c r="K515" s="43"/>
      <c r="L515" s="43"/>
      <c r="M515" s="43"/>
      <c r="N515" s="43"/>
      <c r="O515" s="251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1:51" s="33" customFormat="1" ht="13.8">
      <c r="A516" s="137"/>
      <c r="B516" s="137"/>
      <c r="C516" s="137"/>
      <c r="D516" s="137"/>
      <c r="E516" s="137"/>
      <c r="F516" s="137"/>
      <c r="G516" s="137"/>
      <c r="H516" s="43"/>
      <c r="I516" s="43"/>
      <c r="J516" s="43"/>
      <c r="K516" s="43"/>
      <c r="L516" s="43"/>
      <c r="M516" s="43"/>
      <c r="N516" s="43"/>
      <c r="O516" s="251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1:51" s="33" customFormat="1" ht="13.8">
      <c r="A517" s="339" t="s">
        <v>114</v>
      </c>
      <c r="B517" s="340"/>
      <c r="C517" s="340"/>
      <c r="D517" s="340"/>
      <c r="E517" s="340"/>
      <c r="F517" s="341"/>
      <c r="G517" s="137"/>
      <c r="H517" s="43"/>
      <c r="I517" s="43"/>
      <c r="J517" s="43"/>
      <c r="K517" s="43"/>
      <c r="L517" s="43"/>
      <c r="M517" s="43"/>
      <c r="N517" s="43"/>
      <c r="O517" s="251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1:51" s="33" customFormat="1" ht="13.8">
      <c r="A518" s="138" t="s">
        <v>38</v>
      </c>
      <c r="B518" s="337" t="s">
        <v>27</v>
      </c>
      <c r="C518" s="338"/>
      <c r="D518" s="337" t="s">
        <v>68</v>
      </c>
      <c r="E518" s="338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  <c r="O518" s="251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1:51" s="33" customFormat="1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  <c r="O519" s="251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1:51" s="33" customFormat="1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  <c r="O520" s="251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1:51" s="33" customFormat="1" ht="13.8">
      <c r="A521" s="144"/>
      <c r="B521" s="138">
        <v>2024</v>
      </c>
      <c r="C521" s="138">
        <v>2025</v>
      </c>
      <c r="D521" s="138" t="s">
        <v>141</v>
      </c>
      <c r="E521" s="138" t="s">
        <v>237</v>
      </c>
      <c r="F521" s="145"/>
      <c r="G521" s="137"/>
      <c r="H521" s="120" t="str">
        <f t="shared" ref="H521:O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fakts</v>
      </c>
      <c r="O521" s="120" t="str">
        <f t="shared" si="44"/>
        <v>2025 prognoze</v>
      </c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1:51" s="33" customFormat="1" ht="13.8">
      <c r="A522" s="146" t="s">
        <v>203</v>
      </c>
      <c r="B522" s="147">
        <f ca="1">IFERROR(B481/N522*100,"")</f>
        <v>0.21626514845608844</v>
      </c>
      <c r="C522" s="147">
        <f ca="1">IFERROR(C481/O522*100,"")</f>
        <v>0.1646393669691609</v>
      </c>
      <c r="D522" s="147">
        <f>IFERROR(D481/N522*100,"")</f>
        <v>-1.3638702012391552E-2</v>
      </c>
      <c r="E522" s="147">
        <f>IFERROR(E481/O522*100,"")</f>
        <v>1.9861601487572459E-3</v>
      </c>
      <c r="F522" s="147">
        <f ca="1">IFERROR(C522-E522,"")</f>
        <v>0.16265320682040366</v>
      </c>
      <c r="G522" s="137"/>
      <c r="H522" s="120">
        <f t="shared" ref="H522:H533" si="45">C561</f>
        <v>32285300</v>
      </c>
      <c r="I522" s="120">
        <f>D561</f>
        <v>32283779</v>
      </c>
      <c r="J522" s="120">
        <f>E561</f>
        <v>36103656</v>
      </c>
      <c r="K522" s="120">
        <f>F561</f>
        <v>36099675</v>
      </c>
      <c r="L522" s="120">
        <f>G561</f>
        <v>39072483</v>
      </c>
      <c r="M522" s="120">
        <f>H561</f>
        <v>39372411</v>
      </c>
      <c r="N522" s="120">
        <f t="shared" si="44"/>
        <v>40208388</v>
      </c>
      <c r="O522" s="120">
        <f t="shared" si="44"/>
        <v>41956681.000200301</v>
      </c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1:51" s="33" customFormat="1" ht="13.8">
      <c r="A523" s="146" t="s">
        <v>204</v>
      </c>
      <c r="B523" s="147">
        <f t="shared" ref="B523:B533" ca="1" si="46">IFERROR(B482/N523*100,"")</f>
        <v>0.31878362544651123</v>
      </c>
      <c r="C523" s="147">
        <f t="shared" ref="C523:C533" ca="1" si="47">IFERROR(C482/O523*100,"")</f>
        <v>0.2495269609135673</v>
      </c>
      <c r="D523" s="147">
        <f t="shared" ref="D523:D533" si="48">IFERROR(D482/N523*100,"")</f>
        <v>-2.7277404024783104E-2</v>
      </c>
      <c r="E523" s="147">
        <f t="shared" ref="E523:E533" si="49">IFERROR(E482/O523*100,"")</f>
        <v>3.9723202975144919E-3</v>
      </c>
      <c r="F523" s="147">
        <f t="shared" ref="F523:F533" ca="1" si="50">IFERROR(C523-E523,"")</f>
        <v>0.24555464061605281</v>
      </c>
      <c r="G523" s="137"/>
      <c r="H523" s="120">
        <f t="shared" si="45"/>
        <v>32285300</v>
      </c>
      <c r="I523" s="120">
        <f t="shared" ref="I523:I533" si="51">D562</f>
        <v>32283779</v>
      </c>
      <c r="J523" s="120">
        <f t="shared" ref="J523:J533" si="52">E562</f>
        <v>36103656</v>
      </c>
      <c r="K523" s="120">
        <f t="shared" ref="K523:K533" si="53">F562</f>
        <v>36099675</v>
      </c>
      <c r="L523" s="120">
        <f t="shared" ref="L523:L533" si="54">G562</f>
        <v>39072483</v>
      </c>
      <c r="M523" s="120">
        <f t="shared" ref="M523:M533" si="55">H562</f>
        <v>39372411</v>
      </c>
      <c r="N523" s="120">
        <f t="shared" si="44"/>
        <v>40208388</v>
      </c>
      <c r="O523" s="120">
        <f t="shared" si="44"/>
        <v>41956681.000200301</v>
      </c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1:51" s="33" customFormat="1" ht="13.8">
      <c r="A524" s="146" t="s">
        <v>205</v>
      </c>
      <c r="B524" s="147">
        <f t="shared" ca="1" si="46"/>
        <v>0.16873824685535765</v>
      </c>
      <c r="C524" s="147">
        <f t="shared" ca="1" si="47"/>
        <v>0.31997264511785162</v>
      </c>
      <c r="D524" s="147">
        <f t="shared" si="48"/>
        <v>-4.091610603717466E-2</v>
      </c>
      <c r="E524" s="147">
        <f t="shared" si="49"/>
        <v>5.958480446271737E-3</v>
      </c>
      <c r="F524" s="147">
        <f t="shared" ca="1" si="50"/>
        <v>0.31401416467157989</v>
      </c>
      <c r="G524" s="137"/>
      <c r="H524" s="120">
        <f t="shared" si="45"/>
        <v>32285300</v>
      </c>
      <c r="I524" s="120">
        <f t="shared" si="51"/>
        <v>32283779</v>
      </c>
      <c r="J524" s="120">
        <f t="shared" si="52"/>
        <v>36103656</v>
      </c>
      <c r="K524" s="120">
        <f t="shared" si="53"/>
        <v>36099675</v>
      </c>
      <c r="L524" s="120">
        <f t="shared" si="54"/>
        <v>39072483</v>
      </c>
      <c r="M524" s="120">
        <f t="shared" si="55"/>
        <v>39372411</v>
      </c>
      <c r="N524" s="120">
        <f t="shared" si="44"/>
        <v>40208388</v>
      </c>
      <c r="O524" s="120">
        <f t="shared" si="44"/>
        <v>41956681.000200301</v>
      </c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1:51" s="33" customFormat="1" ht="13.8">
      <c r="A525" s="146" t="s">
        <v>206</v>
      </c>
      <c r="B525" s="147">
        <f t="shared" ca="1" si="46"/>
        <v>0.19692357475261116</v>
      </c>
      <c r="C525" s="147">
        <f t="shared" ca="1" si="47"/>
        <v>0.28261910897917286</v>
      </c>
      <c r="D525" s="147">
        <f t="shared" si="48"/>
        <v>-5.4554808049566209E-2</v>
      </c>
      <c r="E525" s="147">
        <f t="shared" si="49"/>
        <v>7.9446405950289838E-3</v>
      </c>
      <c r="F525" s="147">
        <f t="shared" ca="1" si="50"/>
        <v>0.27467446838414389</v>
      </c>
      <c r="G525" s="137"/>
      <c r="H525" s="120">
        <f t="shared" si="45"/>
        <v>32285300</v>
      </c>
      <c r="I525" s="120">
        <f t="shared" si="51"/>
        <v>32283779</v>
      </c>
      <c r="J525" s="120">
        <f t="shared" si="52"/>
        <v>36103656</v>
      </c>
      <c r="K525" s="120">
        <f t="shared" si="53"/>
        <v>36099675</v>
      </c>
      <c r="L525" s="120">
        <f t="shared" si="54"/>
        <v>39072483</v>
      </c>
      <c r="M525" s="120">
        <f t="shared" si="55"/>
        <v>39372411</v>
      </c>
      <c r="N525" s="120">
        <f t="shared" si="44"/>
        <v>40208388</v>
      </c>
      <c r="O525" s="120">
        <f t="shared" si="44"/>
        <v>41956681.000200301</v>
      </c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1:51" s="33" customFormat="1" ht="13.8">
      <c r="A526" s="146" t="s">
        <v>207</v>
      </c>
      <c r="B526" s="147">
        <f t="shared" ca="1" si="46"/>
        <v>0.19206954528990314</v>
      </c>
      <c r="C526" s="147" t="str">
        <f t="shared" ca="1" si="47"/>
        <v/>
      </c>
      <c r="D526" s="147">
        <f t="shared" si="48"/>
        <v>-6.8193510061957771E-2</v>
      </c>
      <c r="E526" s="147">
        <f t="shared" si="49"/>
        <v>9.9308007437862288E-3</v>
      </c>
      <c r="F526" s="147" t="str">
        <f t="shared" ca="1" si="50"/>
        <v/>
      </c>
      <c r="G526" s="137"/>
      <c r="H526" s="120">
        <f t="shared" si="45"/>
        <v>32285300</v>
      </c>
      <c r="I526" s="120">
        <f t="shared" si="51"/>
        <v>32283779</v>
      </c>
      <c r="J526" s="120">
        <f t="shared" si="52"/>
        <v>36103656</v>
      </c>
      <c r="K526" s="120">
        <f t="shared" si="53"/>
        <v>36099675</v>
      </c>
      <c r="L526" s="120">
        <f t="shared" si="54"/>
        <v>39072483</v>
      </c>
      <c r="M526" s="120">
        <f t="shared" si="55"/>
        <v>39372411</v>
      </c>
      <c r="N526" s="120">
        <f t="shared" si="44"/>
        <v>40208388</v>
      </c>
      <c r="O526" s="120">
        <f t="shared" si="44"/>
        <v>41956681.000200301</v>
      </c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1:51" s="33" customFormat="1" ht="13.8">
      <c r="A527" s="146" t="s">
        <v>208</v>
      </c>
      <c r="B527" s="147">
        <f t="shared" ca="1" si="46"/>
        <v>0.2378863658995731</v>
      </c>
      <c r="C527" s="147" t="str">
        <f t="shared" ca="1" si="47"/>
        <v/>
      </c>
      <c r="D527" s="147">
        <f t="shared" si="48"/>
        <v>-8.183221207434932E-2</v>
      </c>
      <c r="E527" s="147">
        <f t="shared" si="49"/>
        <v>1.1916960892543474E-2</v>
      </c>
      <c r="F527" s="147" t="str">
        <f t="shared" ca="1" si="50"/>
        <v/>
      </c>
      <c r="G527" s="137"/>
      <c r="H527" s="120">
        <f t="shared" si="45"/>
        <v>32285300</v>
      </c>
      <c r="I527" s="120">
        <f t="shared" si="51"/>
        <v>32283779</v>
      </c>
      <c r="J527" s="120">
        <f t="shared" si="52"/>
        <v>36103656</v>
      </c>
      <c r="K527" s="120">
        <f t="shared" si="53"/>
        <v>36099675</v>
      </c>
      <c r="L527" s="120">
        <f t="shared" si="54"/>
        <v>39072483</v>
      </c>
      <c r="M527" s="120">
        <f t="shared" si="55"/>
        <v>39372411</v>
      </c>
      <c r="N527" s="120">
        <f t="shared" si="44"/>
        <v>40208388</v>
      </c>
      <c r="O527" s="120">
        <f t="shared" si="44"/>
        <v>41956681.000200301</v>
      </c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1:51" s="33" customFormat="1" ht="13.8">
      <c r="A528" s="146" t="s">
        <v>209</v>
      </c>
      <c r="B528" s="147">
        <f t="shared" ca="1" si="46"/>
        <v>0.14488991202532181</v>
      </c>
      <c r="C528" s="147" t="str">
        <f t="shared" ca="1" si="47"/>
        <v/>
      </c>
      <c r="D528" s="147">
        <f t="shared" si="48"/>
        <v>-9.5470914086740882E-2</v>
      </c>
      <c r="E528" s="147">
        <f t="shared" si="49"/>
        <v>1.3903121041300719E-2</v>
      </c>
      <c r="F528" s="147" t="str">
        <f t="shared" ca="1" si="50"/>
        <v/>
      </c>
      <c r="G528" s="137"/>
      <c r="H528" s="120">
        <f t="shared" si="45"/>
        <v>32285300</v>
      </c>
      <c r="I528" s="120">
        <f t="shared" si="51"/>
        <v>32283779</v>
      </c>
      <c r="J528" s="120">
        <f t="shared" si="52"/>
        <v>36103656</v>
      </c>
      <c r="K528" s="120">
        <f t="shared" si="53"/>
        <v>36099675</v>
      </c>
      <c r="L528" s="120">
        <f t="shared" si="54"/>
        <v>39072483</v>
      </c>
      <c r="M528" s="120">
        <f t="shared" si="55"/>
        <v>39372411</v>
      </c>
      <c r="N528" s="120">
        <f t="shared" si="44"/>
        <v>40208388</v>
      </c>
      <c r="O528" s="120">
        <f t="shared" si="44"/>
        <v>41956681.000200301</v>
      </c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1:51" s="33" customFormat="1" ht="13.8">
      <c r="A529" s="146" t="s">
        <v>210</v>
      </c>
      <c r="B529" s="147">
        <f t="shared" ca="1" si="46"/>
        <v>0.21112687233320643</v>
      </c>
      <c r="C529" s="147" t="str">
        <f t="shared" ca="1" si="47"/>
        <v/>
      </c>
      <c r="D529" s="147">
        <f t="shared" si="48"/>
        <v>-0.10910961609913242</v>
      </c>
      <c r="E529" s="147">
        <f t="shared" si="49"/>
        <v>1.5889281190057968E-2</v>
      </c>
      <c r="F529" s="147" t="str">
        <f t="shared" ca="1" si="50"/>
        <v/>
      </c>
      <c r="G529" s="137"/>
      <c r="H529" s="120">
        <f t="shared" si="45"/>
        <v>32285300</v>
      </c>
      <c r="I529" s="120">
        <f t="shared" si="51"/>
        <v>32283779</v>
      </c>
      <c r="J529" s="120">
        <f t="shared" si="52"/>
        <v>36103656</v>
      </c>
      <c r="K529" s="120">
        <f t="shared" si="53"/>
        <v>36099675</v>
      </c>
      <c r="L529" s="120">
        <f t="shared" si="54"/>
        <v>39072483</v>
      </c>
      <c r="M529" s="120">
        <f t="shared" si="55"/>
        <v>39372411</v>
      </c>
      <c r="N529" s="120">
        <f t="shared" si="44"/>
        <v>40208388</v>
      </c>
      <c r="O529" s="120">
        <f t="shared" si="44"/>
        <v>41956681.000200301</v>
      </c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1:51" s="33" customFormat="1" ht="13.8">
      <c r="A530" s="146" t="s">
        <v>211</v>
      </c>
      <c r="B530" s="147">
        <f t="shared" ca="1" si="46"/>
        <v>0.27260948138482954</v>
      </c>
      <c r="C530" s="147" t="str">
        <f t="shared" ca="1" si="47"/>
        <v/>
      </c>
      <c r="D530" s="147">
        <f t="shared" si="48"/>
        <v>-0.12274831811152397</v>
      </c>
      <c r="E530" s="147">
        <f t="shared" si="49"/>
        <v>1.7875441338815211E-2</v>
      </c>
      <c r="F530" s="147" t="str">
        <f t="shared" ca="1" si="50"/>
        <v/>
      </c>
      <c r="G530" s="137"/>
      <c r="H530" s="120">
        <f t="shared" si="45"/>
        <v>32285300</v>
      </c>
      <c r="I530" s="120">
        <f t="shared" si="51"/>
        <v>32283779</v>
      </c>
      <c r="J530" s="120">
        <f t="shared" si="52"/>
        <v>36103656</v>
      </c>
      <c r="K530" s="120">
        <f t="shared" si="53"/>
        <v>36099675</v>
      </c>
      <c r="L530" s="120">
        <f t="shared" si="54"/>
        <v>39072483</v>
      </c>
      <c r="M530" s="120">
        <f t="shared" si="55"/>
        <v>39372411</v>
      </c>
      <c r="N530" s="120">
        <f t="shared" si="44"/>
        <v>40208388</v>
      </c>
      <c r="O530" s="120">
        <f t="shared" si="44"/>
        <v>41956681.000200301</v>
      </c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1:51" s="33" customFormat="1" ht="13.8">
      <c r="A531" s="146" t="s">
        <v>212</v>
      </c>
      <c r="B531" s="147">
        <f t="shared" ca="1" si="46"/>
        <v>0.28820649810681276</v>
      </c>
      <c r="C531" s="147" t="str">
        <f t="shared" ca="1" si="47"/>
        <v/>
      </c>
      <c r="D531" s="147">
        <f t="shared" si="48"/>
        <v>-0.13638702012391554</v>
      </c>
      <c r="E531" s="147">
        <f t="shared" si="49"/>
        <v>1.9861601487572458E-2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32283779</v>
      </c>
      <c r="J531" s="120">
        <f t="shared" si="52"/>
        <v>36103656</v>
      </c>
      <c r="K531" s="120">
        <f t="shared" si="53"/>
        <v>36099675</v>
      </c>
      <c r="L531" s="120">
        <f t="shared" si="54"/>
        <v>39072483</v>
      </c>
      <c r="M531" s="120">
        <f t="shared" si="55"/>
        <v>39372411</v>
      </c>
      <c r="N531" s="120">
        <f t="shared" si="44"/>
        <v>40208388</v>
      </c>
      <c r="O531" s="120">
        <f t="shared" si="44"/>
        <v>41956681.000200301</v>
      </c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1:51" s="33" customFormat="1" ht="13.8">
      <c r="A532" s="146" t="s">
        <v>213</v>
      </c>
      <c r="B532" s="147">
        <f t="shared" ca="1" si="46"/>
        <v>0.25147256089948217</v>
      </c>
      <c r="C532" s="147" t="str">
        <f t="shared" ca="1" si="47"/>
        <v/>
      </c>
      <c r="D532" s="147">
        <f t="shared" si="48"/>
        <v>-0.15002572213630708</v>
      </c>
      <c r="E532" s="147">
        <f t="shared" si="49"/>
        <v>2.1847761636329701E-2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32283779</v>
      </c>
      <c r="J532" s="120">
        <f t="shared" si="52"/>
        <v>36103656</v>
      </c>
      <c r="K532" s="120">
        <f t="shared" si="53"/>
        <v>36099675</v>
      </c>
      <c r="L532" s="120">
        <f t="shared" si="54"/>
        <v>39072483</v>
      </c>
      <c r="M532" s="120">
        <f t="shared" si="55"/>
        <v>39372411</v>
      </c>
      <c r="N532" s="120">
        <f t="shared" si="44"/>
        <v>40208388</v>
      </c>
      <c r="O532" s="120">
        <f t="shared" si="44"/>
        <v>41956681.000200301</v>
      </c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1:51" s="33" customFormat="1" ht="13.8">
      <c r="A533" s="146" t="s">
        <v>214</v>
      </c>
      <c r="B533" s="147">
        <f t="shared" ca="1" si="46"/>
        <v>-0.12009102429075257</v>
      </c>
      <c r="C533" s="147" t="str">
        <f t="shared" ca="1" si="47"/>
        <v/>
      </c>
      <c r="D533" s="147">
        <f t="shared" si="48"/>
        <v>-0.16366442414869864</v>
      </c>
      <c r="E533" s="147">
        <f t="shared" si="49"/>
        <v>2.3833921785086948E-2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32283779</v>
      </c>
      <c r="J533" s="120">
        <f t="shared" si="52"/>
        <v>36103656</v>
      </c>
      <c r="K533" s="120">
        <f t="shared" si="53"/>
        <v>36099675</v>
      </c>
      <c r="L533" s="120">
        <f t="shared" si="54"/>
        <v>39072483</v>
      </c>
      <c r="M533" s="120">
        <f t="shared" si="55"/>
        <v>39372411</v>
      </c>
      <c r="N533" s="120">
        <f t="shared" si="44"/>
        <v>40208388</v>
      </c>
      <c r="O533" s="120">
        <f t="shared" si="44"/>
        <v>41956681.000200301</v>
      </c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1:51" s="33" customFormat="1" ht="13.8">
      <c r="A534" s="137"/>
      <c r="B534" s="137"/>
      <c r="C534" s="137"/>
      <c r="D534" s="137"/>
      <c r="E534" s="137"/>
      <c r="F534" s="137"/>
      <c r="G534" s="137"/>
      <c r="H534" s="43"/>
      <c r="I534" s="43"/>
      <c r="J534" s="43"/>
      <c r="K534" s="43"/>
      <c r="L534" s="43"/>
      <c r="M534" s="43"/>
      <c r="N534" s="43"/>
      <c r="O534" s="251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1:51" s="33" customFormat="1" ht="13.8">
      <c r="A535" s="137"/>
      <c r="B535" s="137"/>
      <c r="C535" s="137"/>
      <c r="D535" s="137"/>
      <c r="E535" s="137"/>
      <c r="F535" s="137"/>
      <c r="G535" s="137"/>
      <c r="H535" s="43"/>
      <c r="I535" s="43"/>
      <c r="J535" s="43"/>
      <c r="K535" s="43"/>
      <c r="L535" s="43"/>
      <c r="M535" s="43"/>
      <c r="N535" s="43"/>
      <c r="O535" s="251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1:51" s="33" customFormat="1" ht="13.8">
      <c r="A536" s="137"/>
      <c r="B536" s="137"/>
      <c r="C536" s="137"/>
      <c r="D536" s="137"/>
      <c r="E536" s="137"/>
      <c r="F536" s="137"/>
      <c r="G536" s="137"/>
      <c r="H536" s="43"/>
      <c r="I536" s="43"/>
      <c r="J536" s="43"/>
      <c r="K536" s="43"/>
      <c r="L536" s="43"/>
      <c r="M536" s="43"/>
      <c r="N536" s="43"/>
      <c r="O536" s="251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1:51" s="33" customFormat="1" ht="13.8">
      <c r="A537" s="137"/>
      <c r="B537" s="137"/>
      <c r="C537" s="137"/>
      <c r="D537" s="137"/>
      <c r="E537" s="137"/>
      <c r="F537" s="137"/>
      <c r="G537" s="137"/>
      <c r="H537" s="43"/>
      <c r="I537" s="43"/>
      <c r="J537" s="43"/>
      <c r="K537" s="43"/>
      <c r="L537" s="43"/>
      <c r="M537" s="43"/>
      <c r="N537" s="43"/>
      <c r="O537" s="251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1:51" s="33" customFormat="1" ht="13.8">
      <c r="A538" s="137"/>
      <c r="B538" s="137"/>
      <c r="C538" s="137"/>
      <c r="D538" s="137"/>
      <c r="E538" s="137"/>
      <c r="F538" s="137"/>
      <c r="G538" s="137"/>
      <c r="H538" s="43"/>
      <c r="I538" s="43"/>
      <c r="J538" s="43"/>
      <c r="K538" s="43"/>
      <c r="L538" s="43"/>
      <c r="M538" s="43"/>
      <c r="N538" s="43"/>
      <c r="O538" s="251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1:51" s="33" customFormat="1" ht="13.8">
      <c r="A539" s="137"/>
      <c r="B539" s="137"/>
      <c r="C539" s="137"/>
      <c r="D539" s="137"/>
      <c r="E539" s="137"/>
      <c r="F539" s="137"/>
      <c r="G539" s="137"/>
      <c r="H539" s="43"/>
      <c r="I539" s="43"/>
      <c r="J539" s="43"/>
      <c r="K539" s="43"/>
      <c r="L539" s="43"/>
      <c r="M539" s="43"/>
      <c r="N539" s="43"/>
      <c r="O539" s="251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1:51" s="33" customFormat="1" ht="13.8">
      <c r="A540" s="137"/>
      <c r="B540" s="137"/>
      <c r="C540" s="137"/>
      <c r="D540" s="137"/>
      <c r="E540" s="137"/>
      <c r="F540" s="137"/>
      <c r="G540" s="137"/>
      <c r="H540" s="43"/>
      <c r="I540" s="43"/>
      <c r="J540" s="43"/>
      <c r="K540" s="43"/>
      <c r="L540" s="43"/>
      <c r="M540" s="43"/>
      <c r="N540" s="43"/>
      <c r="O540" s="251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1:51" s="33" customFormat="1" ht="13.8">
      <c r="A541" s="137"/>
      <c r="B541" s="137"/>
      <c r="C541" s="137"/>
      <c r="D541" s="137"/>
      <c r="E541" s="137"/>
      <c r="F541" s="137"/>
      <c r="G541" s="137"/>
      <c r="H541" s="43"/>
      <c r="I541" s="43"/>
      <c r="J541" s="43"/>
      <c r="K541" s="43"/>
      <c r="L541" s="43"/>
      <c r="M541" s="43"/>
      <c r="N541" s="43"/>
      <c r="O541" s="251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1:51" s="33" customFormat="1" ht="13.8">
      <c r="A542" s="137"/>
      <c r="B542" s="137"/>
      <c r="C542" s="137"/>
      <c r="D542" s="137"/>
      <c r="E542" s="137"/>
      <c r="F542" s="137"/>
      <c r="G542" s="137"/>
      <c r="H542" s="43"/>
      <c r="I542" s="43"/>
      <c r="J542" s="43"/>
      <c r="K542" s="43"/>
      <c r="L542" s="43"/>
      <c r="M542" s="43"/>
      <c r="N542" s="43"/>
      <c r="O542" s="251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1:51" s="33" customFormat="1" ht="13.8">
      <c r="A543" s="137"/>
      <c r="B543" s="137"/>
      <c r="C543" s="137"/>
      <c r="D543" s="137"/>
      <c r="E543" s="137"/>
      <c r="F543" s="137"/>
      <c r="G543" s="137"/>
      <c r="H543" s="43"/>
      <c r="I543" s="43"/>
      <c r="J543" s="43"/>
      <c r="K543" s="43"/>
      <c r="L543" s="43"/>
      <c r="M543" s="43"/>
      <c r="N543" s="43"/>
      <c r="O543" s="251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1:51" s="33" customFormat="1" ht="13.8">
      <c r="A544" s="137"/>
      <c r="B544" s="137"/>
      <c r="C544" s="137"/>
      <c r="D544" s="137"/>
      <c r="E544" s="137"/>
      <c r="F544" s="137"/>
      <c r="G544" s="137"/>
      <c r="H544" s="43"/>
      <c r="I544" s="43"/>
      <c r="J544" s="43"/>
      <c r="K544" s="43"/>
      <c r="L544" s="43"/>
      <c r="M544" s="43"/>
      <c r="N544" s="43"/>
      <c r="O544" s="251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1:51" s="33" customFormat="1" ht="13.8">
      <c r="A545" s="137"/>
      <c r="B545" s="137"/>
      <c r="C545" s="137"/>
      <c r="D545" s="137"/>
      <c r="E545" s="137"/>
      <c r="F545" s="137"/>
      <c r="G545" s="137"/>
      <c r="H545" s="43"/>
      <c r="I545" s="43"/>
      <c r="J545" s="43"/>
      <c r="K545" s="43"/>
      <c r="L545" s="43"/>
      <c r="M545" s="43"/>
      <c r="N545" s="43"/>
      <c r="O545" s="251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1:51" s="33" customFormat="1" ht="13.8">
      <c r="A546" s="137"/>
      <c r="B546" s="137"/>
      <c r="C546" s="137"/>
      <c r="D546" s="137"/>
      <c r="E546" s="137"/>
      <c r="F546" s="137"/>
      <c r="G546" s="137"/>
      <c r="H546" s="43"/>
      <c r="I546" s="43"/>
      <c r="J546" s="43"/>
      <c r="K546" s="43"/>
      <c r="L546" s="43"/>
      <c r="M546" s="43"/>
      <c r="N546" s="43"/>
      <c r="O546" s="251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1:51" s="33" customFormat="1" ht="13.8">
      <c r="A547" s="137"/>
      <c r="B547" s="137"/>
      <c r="C547" s="137"/>
      <c r="D547" s="137"/>
      <c r="E547" s="137"/>
      <c r="F547" s="137"/>
      <c r="G547" s="137"/>
      <c r="H547" s="43"/>
      <c r="I547" s="43"/>
      <c r="J547" s="43"/>
      <c r="K547" s="43"/>
      <c r="L547" s="43"/>
      <c r="M547" s="43"/>
      <c r="N547" s="43"/>
      <c r="O547" s="251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1:51" s="33" customFormat="1" ht="13.8">
      <c r="A548" s="137"/>
      <c r="B548" s="137"/>
      <c r="C548" s="137"/>
      <c r="D548" s="137"/>
      <c r="E548" s="137"/>
      <c r="F548" s="137"/>
      <c r="G548" s="137"/>
      <c r="H548" s="43"/>
      <c r="I548" s="43"/>
      <c r="J548" s="43"/>
      <c r="K548" s="43"/>
      <c r="L548" s="43"/>
      <c r="M548" s="43"/>
      <c r="N548" s="43"/>
      <c r="O548" s="251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1:51" s="33" customFormat="1" ht="13.8">
      <c r="A549" s="137"/>
      <c r="B549" s="137"/>
      <c r="C549" s="137"/>
      <c r="D549" s="137"/>
      <c r="E549" s="137"/>
      <c r="F549" s="137"/>
      <c r="G549" s="137"/>
      <c r="H549" s="43"/>
      <c r="I549" s="43"/>
      <c r="J549" s="43"/>
      <c r="K549" s="43"/>
      <c r="L549" s="43"/>
      <c r="M549" s="43"/>
      <c r="N549" s="43"/>
      <c r="O549" s="251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1:51" s="33" customFormat="1" ht="13.8">
      <c r="A550" s="137"/>
      <c r="B550" s="137"/>
      <c r="C550" s="137"/>
      <c r="D550" s="137"/>
      <c r="E550" s="137"/>
      <c r="F550" s="137"/>
      <c r="G550" s="137"/>
      <c r="H550" s="43"/>
      <c r="I550" s="43"/>
      <c r="J550" s="43"/>
      <c r="K550" s="43"/>
      <c r="L550" s="43"/>
      <c r="M550" s="43"/>
      <c r="N550" s="43"/>
      <c r="O550" s="251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1:51" s="33" customFormat="1" ht="13.8">
      <c r="A551" s="137"/>
      <c r="B551" s="137"/>
      <c r="C551" s="137"/>
      <c r="D551" s="137"/>
      <c r="E551" s="137"/>
      <c r="F551" s="137"/>
      <c r="G551" s="137"/>
      <c r="H551" s="43"/>
      <c r="I551" s="43"/>
      <c r="J551" s="43"/>
      <c r="K551" s="43"/>
      <c r="L551" s="43"/>
      <c r="M551" s="43"/>
      <c r="N551" s="43"/>
      <c r="O551" s="251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1:51" s="33" customFormat="1" ht="13.8">
      <c r="A552" s="137"/>
      <c r="B552" s="137"/>
      <c r="C552" s="137"/>
      <c r="D552" s="137"/>
      <c r="E552" s="137"/>
      <c r="F552" s="137"/>
      <c r="G552" s="137"/>
      <c r="H552" s="43"/>
      <c r="I552" s="43"/>
      <c r="J552" s="43"/>
      <c r="K552" s="43"/>
      <c r="L552" s="43"/>
      <c r="M552" s="43"/>
      <c r="N552" s="43"/>
      <c r="O552" s="251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1:51" s="33" customFormat="1" ht="13.8">
      <c r="A553" s="137"/>
      <c r="B553" s="137"/>
      <c r="C553" s="137"/>
      <c r="D553" s="137"/>
      <c r="E553" s="137"/>
      <c r="F553" s="137"/>
      <c r="G553" s="137"/>
      <c r="H553" s="43"/>
      <c r="I553" s="43"/>
      <c r="J553" s="43"/>
      <c r="K553" s="43"/>
      <c r="L553" s="43"/>
      <c r="M553" s="43"/>
      <c r="N553" s="43"/>
      <c r="O553" s="251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1:51" s="33" customFormat="1">
      <c r="A554" s="137"/>
      <c r="B554" s="137"/>
      <c r="C554" s="137"/>
      <c r="D554" s="137"/>
      <c r="E554" s="137"/>
      <c r="F554" s="137"/>
      <c r="G554" s="137"/>
      <c r="H554" s="219"/>
      <c r="I554" s="219"/>
      <c r="J554" s="219"/>
      <c r="K554" s="219"/>
      <c r="L554" s="219"/>
      <c r="M554" s="219"/>
      <c r="N554" s="219"/>
      <c r="O554" s="251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1:51" s="33" customFormat="1">
      <c r="A555" s="137"/>
      <c r="B555" s="137"/>
      <c r="C555" s="137"/>
      <c r="D555" s="137"/>
      <c r="E555" s="137"/>
      <c r="F555" s="137"/>
      <c r="G555" s="137"/>
      <c r="H555" s="219"/>
      <c r="I555" s="219"/>
      <c r="J555" s="219"/>
      <c r="K555" s="219"/>
      <c r="L555" s="219"/>
      <c r="M555" s="219"/>
      <c r="N555" s="219"/>
      <c r="O555" s="251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1:51" s="33" customFormat="1">
      <c r="A556" s="137"/>
      <c r="B556" s="137"/>
      <c r="C556" s="137"/>
      <c r="D556" s="137"/>
      <c r="E556" s="137"/>
      <c r="F556" s="137"/>
      <c r="G556" s="137"/>
      <c r="H556" s="219"/>
      <c r="I556" s="219"/>
      <c r="J556" s="219"/>
      <c r="K556" s="219"/>
      <c r="L556" s="219"/>
      <c r="M556" s="219"/>
      <c r="N556" s="219"/>
      <c r="O556" s="251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1:51" s="33" customFormat="1" ht="13.5" customHeight="1">
      <c r="A557" s="137"/>
      <c r="B557" s="137"/>
      <c r="C557" s="137"/>
      <c r="D557" s="137"/>
      <c r="E557" s="137"/>
      <c r="F557" s="221"/>
      <c r="G557" s="137"/>
      <c r="H557" s="219"/>
      <c r="I557" s="219"/>
      <c r="J557" s="219"/>
      <c r="K557" s="219"/>
      <c r="L557" s="219"/>
      <c r="M557" s="219"/>
      <c r="N557" s="219"/>
      <c r="O557" s="251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1:51" s="33" customFormat="1">
      <c r="A558" s="137"/>
      <c r="B558" s="137"/>
      <c r="C558" s="137"/>
      <c r="D558" s="137"/>
      <c r="E558" s="137"/>
      <c r="F558" s="221"/>
      <c r="G558" s="221"/>
      <c r="H558" s="219"/>
      <c r="I558" s="219"/>
      <c r="J558" s="219"/>
      <c r="K558" s="219"/>
      <c r="L558" s="219"/>
      <c r="M558" s="219"/>
      <c r="N558" s="219"/>
      <c r="O558" s="251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1:51" s="33" customFormat="1" hidden="1">
      <c r="A559" s="137"/>
      <c r="B559" s="137"/>
      <c r="C559" s="221" t="s">
        <v>124</v>
      </c>
      <c r="D559" s="137"/>
      <c r="E559" s="137"/>
      <c r="F559" s="221"/>
      <c r="G559" s="221"/>
      <c r="H559" s="256"/>
      <c r="I559" s="219"/>
      <c r="J559" s="219"/>
      <c r="K559" s="219"/>
      <c r="L559" s="219"/>
      <c r="M559" s="219"/>
      <c r="N559" s="219"/>
      <c r="O559" s="251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1:51" s="33" customFormat="1" hidden="1">
      <c r="A560" s="221"/>
      <c r="B560" s="254" t="s">
        <v>122</v>
      </c>
      <c r="C560" s="254" t="s">
        <v>123</v>
      </c>
      <c r="D560" s="254" t="s">
        <v>125</v>
      </c>
      <c r="E560" s="254" t="s">
        <v>126</v>
      </c>
      <c r="F560" s="254" t="s">
        <v>142</v>
      </c>
      <c r="G560" s="254" t="s">
        <v>143</v>
      </c>
      <c r="H560" s="255" t="s">
        <v>144</v>
      </c>
      <c r="I560" s="255" t="s">
        <v>235</v>
      </c>
      <c r="J560" s="255" t="s">
        <v>234</v>
      </c>
      <c r="K560" s="219"/>
      <c r="L560" s="219"/>
      <c r="M560" s="219"/>
      <c r="N560" s="219"/>
      <c r="O560" s="251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1:51" s="33" customFormat="1" hidden="1">
      <c r="A561" s="253" t="s">
        <v>203</v>
      </c>
      <c r="B561" s="185">
        <v>29224340</v>
      </c>
      <c r="C561" s="185">
        <v>32285300</v>
      </c>
      <c r="D561" s="185">
        <v>32283779</v>
      </c>
      <c r="E561" s="185">
        <v>36103656</v>
      </c>
      <c r="F561" s="185">
        <v>36099675</v>
      </c>
      <c r="G561" s="185">
        <v>39072483</v>
      </c>
      <c r="H561" s="250">
        <v>39372411</v>
      </c>
      <c r="I561" s="185">
        <v>40208388</v>
      </c>
      <c r="J561" s="186">
        <v>41956681.000200301</v>
      </c>
      <c r="K561" s="219"/>
      <c r="L561" s="219"/>
      <c r="M561" s="219"/>
      <c r="N561" s="219"/>
      <c r="O561" s="251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1:51" s="33" customFormat="1" hidden="1">
      <c r="A562" s="253" t="s">
        <v>204</v>
      </c>
      <c r="B562" s="185">
        <v>29224340</v>
      </c>
      <c r="C562" s="185">
        <v>32285300</v>
      </c>
      <c r="D562" s="185">
        <v>32283779</v>
      </c>
      <c r="E562" s="185">
        <v>36103656</v>
      </c>
      <c r="F562" s="185">
        <v>36099675</v>
      </c>
      <c r="G562" s="185">
        <v>39072483</v>
      </c>
      <c r="H562" s="250">
        <v>39372411</v>
      </c>
      <c r="I562" s="185">
        <v>40208388</v>
      </c>
      <c r="J562" s="186">
        <v>41956681.000200301</v>
      </c>
      <c r="K562" s="219"/>
      <c r="L562" s="219"/>
      <c r="M562" s="219"/>
      <c r="N562" s="219"/>
      <c r="O562" s="251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1:51" s="33" customFormat="1" hidden="1">
      <c r="A563" s="253" t="s">
        <v>205</v>
      </c>
      <c r="B563" s="185">
        <v>29224340</v>
      </c>
      <c r="C563" s="185">
        <v>32285300</v>
      </c>
      <c r="D563" s="185">
        <v>32283779</v>
      </c>
      <c r="E563" s="185">
        <v>36103656</v>
      </c>
      <c r="F563" s="185">
        <v>36099675</v>
      </c>
      <c r="G563" s="185">
        <v>39072483</v>
      </c>
      <c r="H563" s="250">
        <v>39372411</v>
      </c>
      <c r="I563" s="185">
        <v>40208388</v>
      </c>
      <c r="J563" s="186">
        <v>41956681.000200301</v>
      </c>
      <c r="K563" s="219"/>
      <c r="L563" s="219"/>
      <c r="M563" s="219"/>
      <c r="N563" s="219"/>
      <c r="O563" s="251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1:51" s="33" customFormat="1" hidden="1">
      <c r="A564" s="253" t="s">
        <v>206</v>
      </c>
      <c r="B564" s="185">
        <v>29224340</v>
      </c>
      <c r="C564" s="185">
        <v>32285300</v>
      </c>
      <c r="D564" s="185">
        <v>32283779</v>
      </c>
      <c r="E564" s="185">
        <v>36103656</v>
      </c>
      <c r="F564" s="185">
        <v>36099675</v>
      </c>
      <c r="G564" s="185">
        <v>39072483</v>
      </c>
      <c r="H564" s="250">
        <v>39372411</v>
      </c>
      <c r="I564" s="185">
        <v>40208388</v>
      </c>
      <c r="J564" s="186">
        <v>41956681.000200301</v>
      </c>
      <c r="K564" s="219"/>
      <c r="L564" s="219"/>
      <c r="M564" s="219"/>
      <c r="N564" s="219"/>
      <c r="O564" s="251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1:51" s="33" customFormat="1" hidden="1">
      <c r="A565" s="253" t="s">
        <v>207</v>
      </c>
      <c r="B565" s="185">
        <v>29224340</v>
      </c>
      <c r="C565" s="185">
        <v>32285300</v>
      </c>
      <c r="D565" s="185">
        <v>32283779</v>
      </c>
      <c r="E565" s="185">
        <v>36103656</v>
      </c>
      <c r="F565" s="185">
        <v>36099675</v>
      </c>
      <c r="G565" s="185">
        <v>39072483</v>
      </c>
      <c r="H565" s="250">
        <v>39372411</v>
      </c>
      <c r="I565" s="185">
        <v>40208388</v>
      </c>
      <c r="J565" s="186">
        <v>41956681.000200301</v>
      </c>
      <c r="K565" s="219"/>
      <c r="L565" s="219"/>
      <c r="M565" s="219"/>
      <c r="N565" s="219"/>
      <c r="O565" s="251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1:51" s="33" customFormat="1" hidden="1">
      <c r="A566" s="253" t="s">
        <v>208</v>
      </c>
      <c r="B566" s="185">
        <v>29224340</v>
      </c>
      <c r="C566" s="185">
        <v>32285300</v>
      </c>
      <c r="D566" s="185">
        <v>32283779</v>
      </c>
      <c r="E566" s="185">
        <v>36103656</v>
      </c>
      <c r="F566" s="185">
        <v>36099675</v>
      </c>
      <c r="G566" s="185">
        <v>39072483</v>
      </c>
      <c r="H566" s="250">
        <v>39372411</v>
      </c>
      <c r="I566" s="185">
        <v>40208388</v>
      </c>
      <c r="J566" s="186">
        <v>41956681.000200301</v>
      </c>
      <c r="K566" s="219"/>
      <c r="L566" s="219"/>
      <c r="M566" s="219"/>
      <c r="N566" s="219"/>
      <c r="O566" s="251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1:51" s="33" customFormat="1" hidden="1">
      <c r="A567" s="253" t="s">
        <v>209</v>
      </c>
      <c r="B567" s="185">
        <v>29224340</v>
      </c>
      <c r="C567" s="185">
        <v>32285300</v>
      </c>
      <c r="D567" s="185">
        <v>32283779</v>
      </c>
      <c r="E567" s="185">
        <v>36103656</v>
      </c>
      <c r="F567" s="185">
        <v>36099675</v>
      </c>
      <c r="G567" s="185">
        <v>39072483</v>
      </c>
      <c r="H567" s="250">
        <v>39372411</v>
      </c>
      <c r="I567" s="185">
        <v>40208388</v>
      </c>
      <c r="J567" s="186">
        <v>41956681.000200301</v>
      </c>
      <c r="K567" s="219"/>
      <c r="L567" s="219"/>
      <c r="M567" s="219"/>
      <c r="N567" s="219"/>
      <c r="O567" s="251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1:51" s="33" customFormat="1" hidden="1">
      <c r="A568" s="253" t="s">
        <v>210</v>
      </c>
      <c r="B568" s="185">
        <v>29224340</v>
      </c>
      <c r="C568" s="185">
        <v>32285300</v>
      </c>
      <c r="D568" s="185">
        <v>32283779</v>
      </c>
      <c r="E568" s="185">
        <v>36103656</v>
      </c>
      <c r="F568" s="185">
        <v>36099675</v>
      </c>
      <c r="G568" s="185">
        <v>39072483</v>
      </c>
      <c r="H568" s="250">
        <v>39372411</v>
      </c>
      <c r="I568" s="185">
        <v>40208388</v>
      </c>
      <c r="J568" s="186">
        <v>41956681.000200301</v>
      </c>
      <c r="K568" s="219"/>
      <c r="L568" s="219"/>
      <c r="M568" s="219"/>
      <c r="N568" s="219"/>
      <c r="O568" s="251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1:51" s="33" customFormat="1" hidden="1">
      <c r="A569" s="253" t="s">
        <v>211</v>
      </c>
      <c r="B569" s="185">
        <v>29224340</v>
      </c>
      <c r="C569" s="185">
        <v>32285300</v>
      </c>
      <c r="D569" s="185">
        <v>32283779</v>
      </c>
      <c r="E569" s="185">
        <v>36103656</v>
      </c>
      <c r="F569" s="185">
        <v>36099675</v>
      </c>
      <c r="G569" s="185">
        <v>39072483</v>
      </c>
      <c r="H569" s="250">
        <v>39372411</v>
      </c>
      <c r="I569" s="185">
        <v>40208388</v>
      </c>
      <c r="J569" s="186">
        <v>41956681.000200301</v>
      </c>
      <c r="K569" s="219"/>
      <c r="L569" s="219"/>
      <c r="M569" s="219"/>
      <c r="N569" s="219"/>
      <c r="O569" s="251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1:51" s="33" customFormat="1" hidden="1">
      <c r="A570" s="253" t="s">
        <v>212</v>
      </c>
      <c r="B570" s="185">
        <v>29224340</v>
      </c>
      <c r="C570" s="185">
        <v>32285300</v>
      </c>
      <c r="D570" s="185">
        <v>32283779</v>
      </c>
      <c r="E570" s="185">
        <v>36103656</v>
      </c>
      <c r="F570" s="185">
        <v>36099675</v>
      </c>
      <c r="G570" s="185">
        <v>39072483</v>
      </c>
      <c r="H570" s="250">
        <v>39372411</v>
      </c>
      <c r="I570" s="185">
        <v>40208388</v>
      </c>
      <c r="J570" s="186">
        <v>41956681.000200301</v>
      </c>
      <c r="K570" s="219"/>
      <c r="L570" s="219"/>
      <c r="M570" s="219"/>
      <c r="N570" s="219"/>
      <c r="O570" s="251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1:51" s="33" customFormat="1" hidden="1">
      <c r="A571" s="253" t="s">
        <v>213</v>
      </c>
      <c r="B571" s="185">
        <v>29224340</v>
      </c>
      <c r="C571" s="185">
        <v>32285300</v>
      </c>
      <c r="D571" s="185">
        <v>32283779</v>
      </c>
      <c r="E571" s="185">
        <v>36103656</v>
      </c>
      <c r="F571" s="185">
        <v>36099675</v>
      </c>
      <c r="G571" s="185">
        <v>39072483</v>
      </c>
      <c r="H571" s="250">
        <v>39372411</v>
      </c>
      <c r="I571" s="185">
        <v>40208388</v>
      </c>
      <c r="J571" s="186">
        <v>41956681.000200301</v>
      </c>
      <c r="K571" s="219"/>
      <c r="L571" s="219"/>
      <c r="M571" s="219"/>
      <c r="N571" s="219"/>
      <c r="O571" s="251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1:51" s="33" customFormat="1" hidden="1">
      <c r="A572" s="253" t="s">
        <v>214</v>
      </c>
      <c r="B572" s="185">
        <v>29224340</v>
      </c>
      <c r="C572" s="185">
        <v>32285300</v>
      </c>
      <c r="D572" s="185">
        <v>32283779</v>
      </c>
      <c r="E572" s="185">
        <v>36103656</v>
      </c>
      <c r="F572" s="185">
        <v>36099675</v>
      </c>
      <c r="G572" s="185">
        <v>39072483</v>
      </c>
      <c r="H572" s="250">
        <v>39372411</v>
      </c>
      <c r="I572" s="185">
        <v>40208388</v>
      </c>
      <c r="J572" s="186">
        <v>41956681.000200301</v>
      </c>
      <c r="K572" s="219"/>
      <c r="L572" s="219"/>
      <c r="M572" s="219"/>
      <c r="N572" s="219"/>
      <c r="O572" s="251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1:51" s="33" customFormat="1" hidden="1">
      <c r="A573" s="137"/>
      <c r="B573" s="182"/>
      <c r="C573" s="182"/>
      <c r="D573" s="182"/>
      <c r="E573" s="182"/>
      <c r="F573" s="182"/>
      <c r="G573" s="182"/>
      <c r="H573" s="182"/>
      <c r="I573" s="182"/>
      <c r="J573"/>
      <c r="K573" s="219"/>
      <c r="L573" s="219"/>
      <c r="M573" s="219"/>
      <c r="N573" s="219"/>
      <c r="O573" s="251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1:51" s="33" customFormat="1" hidden="1">
      <c r="A574" s="137"/>
      <c r="B574" s="137"/>
      <c r="C574" s="137"/>
      <c r="D574" s="137"/>
      <c r="E574" s="137"/>
      <c r="F574" s="137"/>
      <c r="G574" s="137"/>
      <c r="H574" s="219"/>
      <c r="I574" s="219"/>
      <c r="J574" s="219"/>
      <c r="K574" s="219"/>
      <c r="L574" s="219"/>
      <c r="M574" s="219"/>
      <c r="N574" s="219"/>
      <c r="O574" s="251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1:51" s="33" customFormat="1" hidden="1">
      <c r="A575" s="219"/>
      <c r="B575" s="219"/>
      <c r="C575" s="219"/>
      <c r="D575" s="219"/>
      <c r="E575" s="219"/>
      <c r="F575" s="219"/>
      <c r="G575" s="219"/>
      <c r="H575" s="219"/>
      <c r="I575" s="247" t="s">
        <v>258</v>
      </c>
      <c r="J575" s="248"/>
      <c r="K575" s="248"/>
      <c r="L575" s="249"/>
      <c r="M575" s="249"/>
      <c r="N575" s="219"/>
      <c r="O575" s="251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1:51" s="33" customFormat="1" hidden="1">
      <c r="A576" s="219"/>
      <c r="B576" s="219"/>
      <c r="C576" s="219"/>
      <c r="D576" s="219"/>
      <c r="E576" s="219"/>
      <c r="F576" s="219"/>
      <c r="G576" s="219"/>
      <c r="H576" s="219"/>
      <c r="I576" s="219" t="s">
        <v>228</v>
      </c>
      <c r="J576" s="219"/>
      <c r="K576" s="219"/>
      <c r="L576" s="219"/>
      <c r="M576" s="219"/>
      <c r="N576" s="219"/>
      <c r="O576" s="251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1:51" s="33" customFormat="1" hidden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51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1:51" s="33" customFormat="1" hidden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51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1:51" s="33" customFormat="1" hidden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51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1:51" s="33" customFormat="1" hidden="1">
      <c r="A580" s="137"/>
      <c r="B580" s="137"/>
      <c r="C580" s="137"/>
      <c r="D580" s="137"/>
      <c r="E580" s="137"/>
      <c r="F580" s="221"/>
      <c r="G580" s="221"/>
      <c r="H580" s="219"/>
      <c r="I580" s="219"/>
      <c r="J580" s="219"/>
      <c r="K580" s="219"/>
      <c r="L580" s="219"/>
      <c r="M580" s="219"/>
      <c r="N580" s="219"/>
      <c r="O580" s="251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1:51" s="33" customFormat="1" hidden="1">
      <c r="A581" s="137"/>
      <c r="B581" s="137"/>
      <c r="C581" s="137"/>
      <c r="D581" s="137"/>
      <c r="E581" s="184"/>
      <c r="F581" s="335"/>
      <c r="G581" s="335"/>
      <c r="H581" s="225"/>
      <c r="I581" s="225"/>
      <c r="J581" s="219"/>
      <c r="K581" s="219"/>
      <c r="L581" s="219"/>
      <c r="M581" s="219"/>
      <c r="N581" s="219"/>
      <c r="O581" s="251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1:51" s="33" customFormat="1" hidden="1">
      <c r="A582" s="137"/>
      <c r="B582" s="137"/>
      <c r="C582" s="137"/>
      <c r="D582" s="137"/>
      <c r="E582" s="184"/>
      <c r="F582" s="184"/>
      <c r="G582" s="184"/>
      <c r="H582" s="184"/>
      <c r="I582" s="184"/>
      <c r="J582" s="219"/>
      <c r="K582" s="219"/>
      <c r="L582" s="219"/>
      <c r="M582" s="219"/>
      <c r="N582" s="219"/>
      <c r="O582" s="251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1:51" s="33" customFormat="1" hidden="1">
      <c r="A583" s="137"/>
      <c r="B583" s="137"/>
      <c r="C583" s="137"/>
      <c r="D583" s="137"/>
      <c r="E583" s="137"/>
      <c r="F583" s="221"/>
      <c r="G583" s="221"/>
      <c r="H583" s="219"/>
      <c r="I583" s="219"/>
      <c r="J583" s="219"/>
      <c r="K583" s="219"/>
      <c r="L583" s="219"/>
      <c r="M583" s="219"/>
      <c r="N583"/>
      <c r="O583" s="251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N37"/>
  <sheetViews>
    <sheetView zoomScale="80" zoomScaleNormal="80" workbookViewId="0">
      <pane xSplit="1" topLeftCell="DT1" activePane="topRight" state="frozen"/>
      <selection pane="topRight"/>
    </sheetView>
  </sheetViews>
  <sheetFormatPr defaultColWidth="9.109375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7" customWidth="1"/>
    <col min="128" max="138" width="10.5546875" style="59" customWidth="1"/>
    <col min="139" max="139" width="9.109375" style="59" hidden="1" customWidth="1"/>
    <col min="140" max="170" width="9.109375" style="103" customWidth="1"/>
    <col min="171" max="171" width="9.109375" style="59" customWidth="1"/>
    <col min="172" max="16384" width="9.109375" style="59"/>
  </cols>
  <sheetData>
    <row r="1" spans="1:170" s="53" customFormat="1">
      <c r="A1" s="47" t="s">
        <v>0</v>
      </c>
      <c r="D1" s="54"/>
      <c r="Z1" s="48"/>
      <c r="AA1" s="48"/>
      <c r="AB1" s="48"/>
      <c r="AC1" s="48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</row>
    <row r="2" spans="1:170" s="48" customFormat="1" ht="15" customHeight="1">
      <c r="A2" s="55" t="s">
        <v>140</v>
      </c>
      <c r="B2" s="56"/>
      <c r="D2" s="57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EI2" s="285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</row>
    <row r="3" spans="1:170" s="48" customFormat="1" ht="3.75" customHeight="1">
      <c r="A3" s="58"/>
      <c r="B3" s="56"/>
      <c r="D3" s="57"/>
      <c r="Z3" s="50"/>
      <c r="AA3" s="50"/>
      <c r="AB3" s="50"/>
      <c r="AC3" s="50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</row>
    <row r="4" spans="1:170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  <c r="EC4" s="52">
        <v>45627</v>
      </c>
      <c r="ED4" s="52">
        <v>45658</v>
      </c>
      <c r="EE4" s="52">
        <v>45689</v>
      </c>
      <c r="EF4" s="52">
        <v>45717</v>
      </c>
      <c r="EG4" s="52">
        <v>45748</v>
      </c>
    </row>
    <row r="5" spans="1:170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C5" s="85">
        <f>EC6-EC12</f>
        <v>-802616.57399999932</v>
      </c>
      <c r="ED5" s="85">
        <f>'1'!CO11</f>
        <v>37266.269999999786</v>
      </c>
      <c r="EE5" s="85">
        <f>'1'!CP11-'1'!CO11</f>
        <v>-105358.19700000039</v>
      </c>
      <c r="EF5" s="85">
        <f>'1'!CQ11-'1'!CP11</f>
        <v>-453101.89199999906</v>
      </c>
      <c r="EG5" s="85">
        <f>'1'!CR11-'1'!CQ11</f>
        <v>-256267.19400000153</v>
      </c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</row>
    <row r="6" spans="1:170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5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5">
        <f t="shared" si="23"/>
        <v>1335076.73</v>
      </c>
      <c r="DH6" s="165">
        <f t="shared" ref="DH6" si="24">DH7+DH8+DH9+DH10+DH11</f>
        <v>941933.14500000002</v>
      </c>
      <c r="DI6" s="165">
        <f t="shared" ref="DI6:DL6" si="25">DI7+DI8+DI9+DI10+DI11</f>
        <v>1392983.4280000001</v>
      </c>
      <c r="DJ6" s="165">
        <f t="shared" si="25"/>
        <v>1402498.183</v>
      </c>
      <c r="DK6" s="165">
        <f t="shared" si="25"/>
        <v>1304045.598</v>
      </c>
      <c r="DL6" s="165">
        <f t="shared" si="25"/>
        <v>1459749.8659999999</v>
      </c>
      <c r="DM6" s="165">
        <f t="shared" ref="DM6:DO6" si="26">DM7+DM8+DM9+DM10+DM11</f>
        <v>1257876.4940000002</v>
      </c>
      <c r="DN6" s="165">
        <f t="shared" si="26"/>
        <v>1217869.4979999999</v>
      </c>
      <c r="DO6" s="165">
        <f t="shared" si="26"/>
        <v>1209805.9029999988</v>
      </c>
      <c r="DP6" s="165">
        <f t="shared" ref="DP6:DQ6" si="27">DP7+DP8+DP9+DP10+DP11</f>
        <v>1354090.2440000011</v>
      </c>
      <c r="DQ6" s="165">
        <f t="shared" si="27"/>
        <v>1358321.8030000005</v>
      </c>
      <c r="DR6" s="165">
        <v>1557359.8019999999</v>
      </c>
      <c r="DS6" s="165">
        <f t="shared" ref="DS6:DT6" si="28">DS7+DS8+DS9+DS10+DS11</f>
        <v>1355056.4539999999</v>
      </c>
      <c r="DT6" s="165">
        <f t="shared" si="28"/>
        <v>1183497.7439999999</v>
      </c>
      <c r="DU6" s="165">
        <f t="shared" ref="DU6:DX6" si="29">DU7+DU8+DU9+DU10+DU11</f>
        <v>1415647.6440000001</v>
      </c>
      <c r="DV6" s="165">
        <f t="shared" si="29"/>
        <v>1711860.2449999999</v>
      </c>
      <c r="DW6" s="165">
        <f t="shared" si="29"/>
        <v>1789638.223</v>
      </c>
      <c r="DX6" s="165">
        <f t="shared" si="29"/>
        <v>1478726.0710000002</v>
      </c>
      <c r="DY6" s="165">
        <f t="shared" ref="DY6:DZ6" si="30">DY7+DY8+DY9+DY10+DY11</f>
        <v>1374693.1979999996</v>
      </c>
      <c r="DZ6" s="165">
        <f t="shared" si="30"/>
        <v>1261556.1070000012</v>
      </c>
      <c r="EA6" s="165">
        <f t="shared" ref="EA6:EB6" si="31">EA7+EA8+EA9+EA10+EA11</f>
        <v>1282732.1999999983</v>
      </c>
      <c r="EB6" s="165">
        <f t="shared" si="31"/>
        <v>1264748.5330000003</v>
      </c>
      <c r="EC6" s="165">
        <f t="shared" ref="EC6" si="32">EC7+EC8+EC9+EC10+EC11</f>
        <v>1470191.433</v>
      </c>
      <c r="ED6" s="165">
        <f>'1'!CO12</f>
        <v>1450465.2409999999</v>
      </c>
      <c r="EE6" s="165">
        <f>'1'!CP12-'1'!CO12</f>
        <v>1441982.9519999996</v>
      </c>
      <c r="EF6" s="165">
        <f>'1'!CQ12-'1'!CP12</f>
        <v>1161206.1980000008</v>
      </c>
      <c r="EG6" s="165">
        <f>'1'!CR12-'1'!CQ12</f>
        <v>1396940.9009999991</v>
      </c>
      <c r="EH6" s="336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</row>
    <row r="7" spans="1:170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6">
        <f>'1'!BP13-'1'!BO13</f>
        <v>983504.24399999995</v>
      </c>
      <c r="DH7" s="166">
        <f>'1'!BQ13-'1'!BP13</f>
        <v>838446.19</v>
      </c>
      <c r="DI7" s="166">
        <f>'1'!BR13-'1'!BQ13</f>
        <v>1063867.0010000002</v>
      </c>
      <c r="DJ7" s="166">
        <f>'1'!BS13-'1'!BR13</f>
        <v>1071795.2409999999</v>
      </c>
      <c r="DK7" s="166">
        <f>'1'!BT13-'1'!BS13</f>
        <v>1023214.676</v>
      </c>
      <c r="DL7" s="166">
        <f>'1'!BU13-'1'!BT13</f>
        <v>1108668.1310000001</v>
      </c>
      <c r="DM7" s="166">
        <f>'1'!BV13-'1'!BU13</f>
        <v>1074853.3080000002</v>
      </c>
      <c r="DN7" s="166">
        <f>'1'!BW13-'1'!BV13</f>
        <v>1074818.7690000003</v>
      </c>
      <c r="DO7" s="166">
        <f>'1'!BX13-'1'!BW13</f>
        <v>1092402.0949999988</v>
      </c>
      <c r="DP7" s="166">
        <f>'1'!BY13-'1'!BX13</f>
        <v>1019073.949000001</v>
      </c>
      <c r="DQ7" s="166">
        <f>'1'!BZ13-'1'!BY13</f>
        <v>1172609.2300000004</v>
      </c>
      <c r="DR7" s="166">
        <v>1080454.102</v>
      </c>
      <c r="DS7" s="166">
        <f>'1'!CC13-'1'!CB13</f>
        <v>1024283.855</v>
      </c>
      <c r="DT7" s="166">
        <f>'1'!CD13-'1'!CC13</f>
        <v>948366.56</v>
      </c>
      <c r="DU7" s="166">
        <f>'1'!CE13-'1'!CD13</f>
        <v>1101148.2999999998</v>
      </c>
      <c r="DV7" s="166">
        <f>'1'!CF13-'1'!CE13</f>
        <v>1184611.6260000002</v>
      </c>
      <c r="DW7" s="166">
        <f>'1'!CG13-'1'!CF13</f>
        <v>1175606.6299999999</v>
      </c>
      <c r="DX7" s="166">
        <f>'1'!CH13-'1'!CG13</f>
        <v>1168928.6660000002</v>
      </c>
      <c r="DY7" s="166">
        <f>'1'!CI13-'1'!CH13</f>
        <v>1163803.9859999996</v>
      </c>
      <c r="DZ7" s="166">
        <f>'1'!CJ13-'1'!CI13</f>
        <v>1144495.5980000012</v>
      </c>
      <c r="EA7" s="166">
        <f>'1'!CK13-'1'!CJ13</f>
        <v>1143525.4899999984</v>
      </c>
      <c r="EB7" s="166">
        <f>'1'!CL13-'1'!CK13</f>
        <v>1134290.6260000002</v>
      </c>
      <c r="EC7" s="166">
        <f>'1'!CM13-'1'!CL13</f>
        <v>1313998.17</v>
      </c>
      <c r="ED7" s="166">
        <f>'1'!CO13</f>
        <v>1197099.889</v>
      </c>
      <c r="EE7" s="166">
        <f>'1'!CP13-'1'!CO13</f>
        <v>1075544.3429999999</v>
      </c>
      <c r="EF7" s="166">
        <f>'1'!CQ13-'1'!CP13</f>
        <v>982712.22600000026</v>
      </c>
      <c r="EG7" s="166">
        <f>'1'!CR13-'1'!CQ13</f>
        <v>1155370.0780000002</v>
      </c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</row>
    <row r="8" spans="1:170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6">
        <f>'1'!BP14-'1'!BO14</f>
        <v>55444.927999999993</v>
      </c>
      <c r="DH8" s="166">
        <f>'1'!BQ14-'1'!BP14</f>
        <v>53781.614000000001</v>
      </c>
      <c r="DI8" s="166">
        <f>'1'!BR14-'1'!BQ14</f>
        <v>77237.089000000007</v>
      </c>
      <c r="DJ8" s="166">
        <f>'1'!BS14-'1'!BR14</f>
        <v>192092.22</v>
      </c>
      <c r="DK8" s="166">
        <f>'1'!BT14-'1'!BS14</f>
        <v>237322.25700000004</v>
      </c>
      <c r="DL8" s="166">
        <f>'1'!BU14-'1'!BT14</f>
        <v>86506.563999999897</v>
      </c>
      <c r="DM8" s="166">
        <f>'1'!BV14-'1'!BU14</f>
        <v>54412.139000000083</v>
      </c>
      <c r="DN8" s="166">
        <f>'1'!BW14-'1'!BV14</f>
        <v>54637.887999999919</v>
      </c>
      <c r="DO8" s="166">
        <f>'1'!BX14-'1'!BW14</f>
        <v>62366.650000000023</v>
      </c>
      <c r="DP8" s="166">
        <f>'1'!BY14-'1'!BX14</f>
        <v>85156.538000000059</v>
      </c>
      <c r="DQ8" s="166">
        <f>'1'!BZ14-'1'!BY14</f>
        <v>58406.103000000003</v>
      </c>
      <c r="DR8" s="166">
        <v>91673.743000000002</v>
      </c>
      <c r="DS8" s="166">
        <f>'1'!CC14-'1'!CB14</f>
        <v>62936.034999999989</v>
      </c>
      <c r="DT8" s="166">
        <f>'1'!CD14-'1'!CC14</f>
        <v>48128.200000000012</v>
      </c>
      <c r="DU8" s="166">
        <f>'1'!CE14-'1'!CD14</f>
        <v>77884.472999999998</v>
      </c>
      <c r="DV8" s="166">
        <f>'1'!CF14-'1'!CE14</f>
        <v>104818.484</v>
      </c>
      <c r="DW8" s="166">
        <f>'1'!CG14-'1'!CF14</f>
        <v>443247.60200000001</v>
      </c>
      <c r="DX8" s="166">
        <f>'1'!CH14-'1'!CG14</f>
        <v>77237.886999999988</v>
      </c>
      <c r="DY8" s="166">
        <f>'1'!CI14-'1'!CH14</f>
        <v>56736.381000000052</v>
      </c>
      <c r="DZ8" s="166">
        <f>'1'!CJ14-'1'!CI14</f>
        <v>55541.926999999909</v>
      </c>
      <c r="EA8" s="166">
        <f>'1'!CK14-'1'!CJ14</f>
        <v>80275.670000000042</v>
      </c>
      <c r="EB8" s="166">
        <f>'1'!CL14-'1'!CK14</f>
        <v>73701.820000000065</v>
      </c>
      <c r="EC8" s="166">
        <f>'1'!CM14-'1'!CL14</f>
        <v>47824.013999999966</v>
      </c>
      <c r="ED8" s="166">
        <f>'1'!CO14</f>
        <v>72897.604999999996</v>
      </c>
      <c r="EE8" s="166">
        <f>'1'!CP14-'1'!CO14</f>
        <v>62986.465000000011</v>
      </c>
      <c r="EF8" s="166">
        <f>'1'!CQ14-'1'!CP14</f>
        <v>48597.046000000002</v>
      </c>
      <c r="EG8" s="166">
        <f>'1'!CR14-'1'!CQ14</f>
        <v>54495.926999999996</v>
      </c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</row>
    <row r="9" spans="1:170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6">
        <f>'1'!BP15-'1'!BO15</f>
        <v>37544.480000000003</v>
      </c>
      <c r="DH9" s="166">
        <f>'1'!BQ15-'1'!BP15</f>
        <v>40866.679000000004</v>
      </c>
      <c r="DI9" s="166">
        <f>'1'!BR15-'1'!BQ15</f>
        <v>41230.321999999986</v>
      </c>
      <c r="DJ9" s="166">
        <f>'1'!BS15-'1'!BR15</f>
        <v>40441.157999999996</v>
      </c>
      <c r="DK9" s="166">
        <f>'1'!BT15-'1'!BS15</f>
        <v>26365.90400000001</v>
      </c>
      <c r="DL9" s="166">
        <f>'1'!BU15-'1'!BT15</f>
        <v>48088.752000000008</v>
      </c>
      <c r="DM9" s="166">
        <f>'1'!BV15-'1'!BU15</f>
        <v>55467.156000000017</v>
      </c>
      <c r="DN9" s="166">
        <f>'1'!BW15-'1'!BV15</f>
        <v>39824.464999999967</v>
      </c>
      <c r="DO9" s="166">
        <f>'1'!BX15-'1'!BW15</f>
        <v>38754.782999999996</v>
      </c>
      <c r="DP9" s="166">
        <f>'1'!BY15-'1'!BX15</f>
        <v>35948.121000000043</v>
      </c>
      <c r="DQ9" s="166">
        <f>'1'!BZ15-'1'!BY15</f>
        <v>36750.430999999982</v>
      </c>
      <c r="DR9" s="166">
        <v>57283.148999999998</v>
      </c>
      <c r="DS9" s="166">
        <f>'1'!CC15-'1'!CB15</f>
        <v>47780.128000000004</v>
      </c>
      <c r="DT9" s="166">
        <f>'1'!CD15-'1'!CC15</f>
        <v>43479.033999999985</v>
      </c>
      <c r="DU9" s="166">
        <f>'1'!CE15-'1'!CD15</f>
        <v>49427.97100000002</v>
      </c>
      <c r="DV9" s="166">
        <f>'1'!CF15-'1'!CE15</f>
        <v>39882.815999999992</v>
      </c>
      <c r="DW9" s="166">
        <f>'1'!CG15-'1'!CF15</f>
        <v>37234.499000000011</v>
      </c>
      <c r="DX9" s="166">
        <f>'1'!CH15-'1'!CG15</f>
        <v>38019.54800000001</v>
      </c>
      <c r="DY9" s="166">
        <f>'1'!CI15-'1'!CH15</f>
        <v>53724.829999999958</v>
      </c>
      <c r="DZ9" s="166">
        <f>'1'!CJ15-'1'!CI15</f>
        <v>42287.492000000027</v>
      </c>
      <c r="EA9" s="166">
        <f>'1'!CK15-'1'!CJ15</f>
        <v>48053.766000000003</v>
      </c>
      <c r="EB9" s="166">
        <f>'1'!CL15-'1'!CK15</f>
        <v>35042.076000000001</v>
      </c>
      <c r="EC9" s="166">
        <f>'1'!CM15-'1'!CL15</f>
        <v>46342.266999999993</v>
      </c>
      <c r="ED9" s="166">
        <f>'1'!CO15</f>
        <v>60362.139000000003</v>
      </c>
      <c r="EE9" s="166">
        <f>'1'!CP15-'1'!CO15</f>
        <v>36315.863999999994</v>
      </c>
      <c r="EF9" s="166">
        <f>'1'!CQ15-'1'!CP15</f>
        <v>44533.453000000009</v>
      </c>
      <c r="EG9" s="166">
        <f>'1'!CR15-'1'!CQ15</f>
        <v>52597.654999999999</v>
      </c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</row>
    <row r="10" spans="1:170" s="77" customFormat="1" ht="15" customHeight="1">
      <c r="A10" s="25" t="s">
        <v>226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6">
        <f>'1'!BP16-'1'!BO16</f>
        <v>258501.93500000003</v>
      </c>
      <c r="DH10" s="166">
        <f>'1'!BQ16-'1'!BP16</f>
        <v>8460.6209999999846</v>
      </c>
      <c r="DI10" s="166">
        <f>'1'!BR16-'1'!BQ16</f>
        <v>210513.09199999995</v>
      </c>
      <c r="DJ10" s="166">
        <f>'1'!BS16-'1'!BR16</f>
        <v>98076.59600000002</v>
      </c>
      <c r="DK10" s="166">
        <f>'1'!BT16-'1'!BS16</f>
        <v>17001.777000000002</v>
      </c>
      <c r="DL10" s="166">
        <f>'1'!BU16-'1'!BT16</f>
        <v>216351.62199999997</v>
      </c>
      <c r="DM10" s="166">
        <f>'1'!BV16-'1'!BU16</f>
        <v>73018.22900000005</v>
      </c>
      <c r="DN10" s="166">
        <f>'1'!BW16-'1'!BV16</f>
        <v>48172.45299999998</v>
      </c>
      <c r="DO10" s="166">
        <f>'1'!BX16-'1'!BW16</f>
        <v>16310.769000000088</v>
      </c>
      <c r="DP10" s="166">
        <f>'1'!BY16-'1'!BX16</f>
        <v>213370.875</v>
      </c>
      <c r="DQ10" s="166">
        <f>'1'!BZ16-'1'!BY16</f>
        <v>90602.706000000006</v>
      </c>
      <c r="DR10" s="166">
        <v>327834.74400000001</v>
      </c>
      <c r="DS10" s="166">
        <f>'1'!CC16-'1'!CB16</f>
        <v>219997.24000000005</v>
      </c>
      <c r="DT10" s="166">
        <f>'1'!CD16-'1'!CC16</f>
        <v>143295.9709999999</v>
      </c>
      <c r="DU10" s="166">
        <f>'1'!CE16-'1'!CD16</f>
        <v>187049.61200000008</v>
      </c>
      <c r="DV10" s="166">
        <f>'1'!CF16-'1'!CE16</f>
        <v>382352.75699999998</v>
      </c>
      <c r="DW10" s="166">
        <f>'1'!CG16-'1'!CF16</f>
        <v>133342.14800000004</v>
      </c>
      <c r="DX10" s="166">
        <f>'1'!CH16-'1'!CG16</f>
        <v>194442.23999999999</v>
      </c>
      <c r="DY10" s="166">
        <f>'1'!CI16-'1'!CH16</f>
        <v>100189.50899999985</v>
      </c>
      <c r="DZ10" s="166">
        <f>'1'!CJ16-'1'!CI16</f>
        <v>19126.847000000067</v>
      </c>
      <c r="EA10" s="166">
        <f>'1'!CK16-'1'!CJ16</f>
        <v>10698.983999999939</v>
      </c>
      <c r="EB10" s="166">
        <f>'1'!CL16-'1'!CK16</f>
        <v>21526.618000000017</v>
      </c>
      <c r="EC10" s="166">
        <f>'1'!CM16-'1'!CL16</f>
        <v>61594.915000000037</v>
      </c>
      <c r="ED10" s="166">
        <f>'1'!CO16</f>
        <v>119758.12</v>
      </c>
      <c r="EE10" s="166">
        <f>'1'!CP16-'1'!CO16</f>
        <v>267285.88799999998</v>
      </c>
      <c r="EF10" s="166">
        <f>'1'!CQ16-'1'!CP16</f>
        <v>85036.917000000016</v>
      </c>
      <c r="EG10" s="166">
        <f>'1'!CR16-'1'!CQ16</f>
        <v>134365.99599999998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</row>
    <row r="11" spans="1:170" s="77" customFormat="1" ht="15" customHeight="1">
      <c r="A11" s="8" t="s">
        <v>248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6">
        <f>'1'!BP17-'1'!BO17</f>
        <v>81.142999999999986</v>
      </c>
      <c r="DH11" s="166">
        <f>'1'!BQ17-'1'!BP17</f>
        <v>378.04100000000005</v>
      </c>
      <c r="DI11" s="166">
        <f>'1'!BR17-'1'!BQ17</f>
        <v>135.92399999999998</v>
      </c>
      <c r="DJ11" s="166">
        <f>'1'!BS17-'1'!BR17</f>
        <v>92.967999999999961</v>
      </c>
      <c r="DK11" s="166">
        <f>'1'!BT17-'1'!BS17</f>
        <v>140.98400000000004</v>
      </c>
      <c r="DL11" s="166">
        <f>'1'!BU17-'1'!BT17</f>
        <v>134.79699999999991</v>
      </c>
      <c r="DM11" s="166">
        <f>'1'!BV17-'1'!BU17</f>
        <v>125.66200000000003</v>
      </c>
      <c r="DN11" s="166">
        <f>'1'!BW17-'1'!BV17</f>
        <v>415.923</v>
      </c>
      <c r="DO11" s="166">
        <f>'1'!BX17-'1'!BW17</f>
        <v>-28.394000000000005</v>
      </c>
      <c r="DP11" s="166">
        <f>'1'!BY17-'1'!BX17</f>
        <v>540.76100000000019</v>
      </c>
      <c r="DQ11" s="166">
        <f>'1'!BZ17-'1'!BY17</f>
        <v>-46.667000000000371</v>
      </c>
      <c r="DR11" s="166">
        <v>114.06399999999999</v>
      </c>
      <c r="DS11" s="166">
        <f>'1'!CC17-'1'!CB17</f>
        <v>59.195999999999998</v>
      </c>
      <c r="DT11" s="166">
        <f>'1'!CD17-'1'!CC17</f>
        <v>227.97899999999998</v>
      </c>
      <c r="DU11" s="166">
        <f>'1'!CE17-'1'!CD17</f>
        <v>137.28800000000007</v>
      </c>
      <c r="DV11" s="166">
        <f>'1'!CF17-'1'!CE17</f>
        <v>194.56200000000001</v>
      </c>
      <c r="DW11" s="166">
        <f>'1'!CG17-'1'!CF17</f>
        <v>207.34399999999994</v>
      </c>
      <c r="DX11" s="166">
        <f>'1'!CH17-'1'!CG17</f>
        <v>97.730000000000018</v>
      </c>
      <c r="DY11" s="166">
        <f>'1'!CI17-'1'!CH17</f>
        <v>238.49199999999996</v>
      </c>
      <c r="DZ11" s="166">
        <f>'1'!CJ17-'1'!CI17</f>
        <v>104.24299999999994</v>
      </c>
      <c r="EA11" s="166">
        <f>'1'!CK17-'1'!CJ17</f>
        <v>178.29000000000019</v>
      </c>
      <c r="EB11" s="166">
        <f>'1'!CL17-'1'!CK17</f>
        <v>187.3929999999998</v>
      </c>
      <c r="EC11" s="166">
        <f>'1'!CM17-'1'!CL17</f>
        <v>432.06700000000023</v>
      </c>
      <c r="ED11" s="166">
        <f>'1'!CO17</f>
        <v>347.488</v>
      </c>
      <c r="EE11" s="166">
        <f>'1'!CP17-'1'!CO17</f>
        <v>-149.608</v>
      </c>
      <c r="EF11" s="166">
        <f>'1'!CQ17-'1'!CP17</f>
        <v>326.55600000000004</v>
      </c>
      <c r="EG11" s="166">
        <f>'1'!CR17-'1'!CQ17</f>
        <v>111.245</v>
      </c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</row>
    <row r="12" spans="1:170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5">
        <f>'1'!BP18-'1'!BO18</f>
        <v>1410804.2549999997</v>
      </c>
      <c r="DH12" s="165">
        <f>'1'!BQ18-'1'!BP18</f>
        <v>1353313.6140000005</v>
      </c>
      <c r="DI12" s="165">
        <f>'1'!BR18-'1'!BQ18</f>
        <v>1300627.878</v>
      </c>
      <c r="DJ12" s="165">
        <f>'1'!BS18-'1'!BR18</f>
        <v>1285511.2979999995</v>
      </c>
      <c r="DK12" s="165">
        <f>'1'!BT18-'1'!BS18</f>
        <v>1387062.6690000007</v>
      </c>
      <c r="DL12" s="165">
        <f>'1'!BU18-'1'!BT18</f>
        <v>1233758.4669999992</v>
      </c>
      <c r="DM12" s="165">
        <f>'1'!BV18-'1'!BU18</f>
        <v>1277311.9980000015</v>
      </c>
      <c r="DN12" s="165">
        <f>'1'!BW18-'1'!BV18</f>
        <v>1228203.9879999962</v>
      </c>
      <c r="DO12" s="165">
        <f>'1'!BX18-'1'!BW18</f>
        <v>1416444.3940000031</v>
      </c>
      <c r="DP12" s="165">
        <f>'1'!BY18-'1'!BX18</f>
        <v>1471104.6449999996</v>
      </c>
      <c r="DQ12" s="165">
        <f>'1'!BZ18-'1'!BY18</f>
        <v>2516060.8440000024</v>
      </c>
      <c r="DR12" s="165">
        <v>1303627.6510000001</v>
      </c>
      <c r="DS12" s="165">
        <f>'1'!CC18-'1'!CB18</f>
        <v>1427917.6090000002</v>
      </c>
      <c r="DT12" s="165">
        <f>'1'!CD18-'1'!CC18</f>
        <v>1322792.966</v>
      </c>
      <c r="DU12" s="165">
        <f>'1'!CE18-'1'!CD18</f>
        <v>1553303.541999999</v>
      </c>
      <c r="DV12" s="165">
        <f>'1'!CF18-'1'!CE18</f>
        <v>1362544.1009999998</v>
      </c>
      <c r="DW12" s="165">
        <f>'1'!CG18-'1'!CF18</f>
        <v>1438872.2280000001</v>
      </c>
      <c r="DX12" s="165">
        <f>'1'!CH18-'1'!CG18</f>
        <v>1492723.1660000011</v>
      </c>
      <c r="DY12" s="165">
        <f>'1'!CI18-'1'!CH18</f>
        <v>1314621.5870000012</v>
      </c>
      <c r="DZ12" s="165">
        <f>'1'!CJ18-'1'!CI18</f>
        <v>1304550.4690000005</v>
      </c>
      <c r="EA12" s="165">
        <f>'1'!CK18-'1'!CJ18</f>
        <v>1578167.1949999984</v>
      </c>
      <c r="EB12" s="165">
        <f>'1'!CL18-'1'!CK18</f>
        <v>1506903.9630000014</v>
      </c>
      <c r="EC12" s="165">
        <f>'1'!CM18-'1'!CL18</f>
        <v>2272808.0069999993</v>
      </c>
      <c r="ED12" s="165">
        <f>'1'!CO18</f>
        <v>1413198.9710000001</v>
      </c>
      <c r="EE12" s="165">
        <f>'1'!CP18-'1'!CO18</f>
        <v>1547341.149</v>
      </c>
      <c r="EF12" s="165">
        <f>'1'!CQ18-'1'!CP18</f>
        <v>1614308.0899999999</v>
      </c>
      <c r="EG12" s="165">
        <f>'1'!CR18-'1'!CQ18</f>
        <v>1653208.0950000007</v>
      </c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</row>
    <row r="13" spans="1:170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6">
        <f>'1'!BP19-'1'!BO19</f>
        <v>268167.88399999996</v>
      </c>
      <c r="DH13" s="166">
        <f>'1'!BQ19-'1'!BP19</f>
        <v>280874.82999999996</v>
      </c>
      <c r="DI13" s="166">
        <f>'1'!BR19-'1'!BQ19</f>
        <v>280440.52600000007</v>
      </c>
      <c r="DJ13" s="166">
        <f>'1'!BS19-'1'!BR19</f>
        <v>290130.30200000003</v>
      </c>
      <c r="DK13" s="166">
        <f>'1'!BT19-'1'!BS19</f>
        <v>393562.53499999992</v>
      </c>
      <c r="DL13" s="166">
        <f>'1'!BU19-'1'!BT19</f>
        <v>301259.39899999998</v>
      </c>
      <c r="DM13" s="166">
        <f>'1'!BV19-'1'!BU19</f>
        <v>257755.70200000005</v>
      </c>
      <c r="DN13" s="166">
        <f>'1'!BW19-'1'!BV19</f>
        <v>265406.22500000009</v>
      </c>
      <c r="DO13" s="166">
        <f>'1'!BX19-'1'!BW19</f>
        <v>301408.95200000005</v>
      </c>
      <c r="DP13" s="166">
        <f>'1'!BY19-'1'!BX19</f>
        <v>321440.65899999999</v>
      </c>
      <c r="DQ13" s="166">
        <f>'1'!BZ19-'1'!BY19</f>
        <v>478462.86100000003</v>
      </c>
      <c r="DR13" s="166">
        <v>223838.76</v>
      </c>
      <c r="DS13" s="166">
        <f>'1'!CC19-'1'!CB19</f>
        <v>323655.63</v>
      </c>
      <c r="DT13" s="166">
        <f>'1'!CD19-'1'!CC19</f>
        <v>326712.97699999996</v>
      </c>
      <c r="DU13" s="166">
        <f>'1'!CE19-'1'!CD19</f>
        <v>325691.16600000008</v>
      </c>
      <c r="DV13" s="166">
        <f>'1'!CF19-'1'!CE19</f>
        <v>348178.33400000003</v>
      </c>
      <c r="DW13" s="166">
        <f>'1'!CG19-'1'!CF19</f>
        <v>426185.62699999986</v>
      </c>
      <c r="DX13" s="166">
        <f>'1'!CH19-'1'!CG19</f>
        <v>354724.17500000028</v>
      </c>
      <c r="DY13" s="166">
        <f>'1'!CI19-'1'!CH19</f>
        <v>293324.55599999987</v>
      </c>
      <c r="DZ13" s="166">
        <f>'1'!CJ19-'1'!CI19</f>
        <v>285460.77</v>
      </c>
      <c r="EA13" s="166">
        <f>'1'!CK19-'1'!CJ19</f>
        <v>332082.15999999968</v>
      </c>
      <c r="EB13" s="166">
        <f>'1'!CL19-'1'!CK19</f>
        <v>350875.09300000034</v>
      </c>
      <c r="EC13" s="166">
        <f>'1'!CM19-'1'!CL19</f>
        <v>493138.72599999979</v>
      </c>
      <c r="ED13" s="166">
        <f>'1'!CO19</f>
        <v>227203</v>
      </c>
      <c r="EE13" s="166">
        <f>'1'!CP19-'1'!CO19</f>
        <v>338190.06299999997</v>
      </c>
      <c r="EF13" s="166">
        <f>'1'!CQ19-'1'!CP19</f>
        <v>337732.41100000008</v>
      </c>
      <c r="EG13" s="166">
        <f>'1'!CR19-'1'!CQ19</f>
        <v>382157.49400000006</v>
      </c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</row>
    <row r="14" spans="1:170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6">
        <f>'1'!BP20-'1'!BO20</f>
        <v>153431.13</v>
      </c>
      <c r="DH14" s="166">
        <f>'1'!BQ20-'1'!BP20</f>
        <v>173666.40299999999</v>
      </c>
      <c r="DI14" s="166">
        <f>'1'!BR20-'1'!BQ20</f>
        <v>152022.00299999997</v>
      </c>
      <c r="DJ14" s="166">
        <f>'1'!BS20-'1'!BR20</f>
        <v>148524.5340000001</v>
      </c>
      <c r="DK14" s="166">
        <f>'1'!BT20-'1'!BS20</f>
        <v>153439.31799999997</v>
      </c>
      <c r="DL14" s="166">
        <f>'1'!BU20-'1'!BT20</f>
        <v>152421.23599999992</v>
      </c>
      <c r="DM14" s="166">
        <f>'1'!BV20-'1'!BU20</f>
        <v>158436.74</v>
      </c>
      <c r="DN14" s="166">
        <f>'1'!BW20-'1'!BV20</f>
        <v>170572.69200000004</v>
      </c>
      <c r="DO14" s="166">
        <f>'1'!BX20-'1'!BW20</f>
        <v>175977.89400000009</v>
      </c>
      <c r="DP14" s="166">
        <f>'1'!BY20-'1'!BX20</f>
        <v>182784.19999999995</v>
      </c>
      <c r="DQ14" s="166">
        <f>'1'!BZ20-'1'!BY20</f>
        <v>543953.18099999987</v>
      </c>
      <c r="DR14" s="166">
        <v>159800.26199999999</v>
      </c>
      <c r="DS14" s="166">
        <f>'1'!CC20-'1'!CB20</f>
        <v>160653.74200000003</v>
      </c>
      <c r="DT14" s="166">
        <f>'1'!CD20-'1'!CC20</f>
        <v>137812.24599999998</v>
      </c>
      <c r="DU14" s="166">
        <f>'1'!CE20-'1'!CD20</f>
        <v>154354.46999999997</v>
      </c>
      <c r="DV14" s="166">
        <f>'1'!CF20-'1'!CE20</f>
        <v>152661.94000000006</v>
      </c>
      <c r="DW14" s="166">
        <f>'1'!CG20-'1'!CF20</f>
        <v>161689.73899999994</v>
      </c>
      <c r="DX14" s="166">
        <f>'1'!CH20-'1'!CG20</f>
        <v>152741.64000000013</v>
      </c>
      <c r="DY14" s="166">
        <f>'1'!CI20-'1'!CH20</f>
        <v>142278.14099999983</v>
      </c>
      <c r="DZ14" s="166">
        <f>'1'!CJ20-'1'!CI20</f>
        <v>161453.22600000002</v>
      </c>
      <c r="EA14" s="166">
        <f>'1'!CK20-'1'!CJ20</f>
        <v>181702.24900000007</v>
      </c>
      <c r="EB14" s="166">
        <f>'1'!CL20-'1'!CK20</f>
        <v>209977.55700000003</v>
      </c>
      <c r="EC14" s="166">
        <f>'1'!CM20-'1'!CL20</f>
        <v>360763.18700000015</v>
      </c>
      <c r="ED14" s="166">
        <f>'1'!CO20</f>
        <v>143305.693</v>
      </c>
      <c r="EE14" s="166">
        <f>'1'!CP20-'1'!CO20</f>
        <v>273132.70400000003</v>
      </c>
      <c r="EF14" s="166">
        <f>'1'!CQ20-'1'!CP20</f>
        <v>168956.81999999995</v>
      </c>
      <c r="EG14" s="166">
        <f>'1'!CR20-'1'!CQ20</f>
        <v>158512.44300000009</v>
      </c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</row>
    <row r="15" spans="1:170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6">
        <f>'1'!BP21-'1'!BO21</f>
        <v>48215.86</v>
      </c>
      <c r="DH15" s="166">
        <f>'1'!BQ21-'1'!BP21</f>
        <v>19736.156000000003</v>
      </c>
      <c r="DI15" s="166">
        <f>'1'!BR21-'1'!BQ21</f>
        <v>12163.562000000005</v>
      </c>
      <c r="DJ15" s="166">
        <f>'1'!BS21-'1'!BR21</f>
        <v>68411.877999999982</v>
      </c>
      <c r="DK15" s="166">
        <f>'1'!BT21-'1'!BS21</f>
        <v>3473.176999999996</v>
      </c>
      <c r="DL15" s="166">
        <f>'1'!BU21-'1'!BT21</f>
        <v>3128.9040000000095</v>
      </c>
      <c r="DM15" s="166">
        <f>'1'!BV21-'1'!BU21</f>
        <v>8276.6000000000058</v>
      </c>
      <c r="DN15" s="166">
        <f>'1'!BW21-'1'!BV21</f>
        <v>18878.344000000012</v>
      </c>
      <c r="DO15" s="166">
        <f>'1'!BX21-'1'!BW21</f>
        <v>16582.597999999998</v>
      </c>
      <c r="DP15" s="166">
        <f>'1'!BY21-'1'!BX21</f>
        <v>22174.156999999977</v>
      </c>
      <c r="DQ15" s="166">
        <f>'1'!BZ21-'1'!BY21</f>
        <v>3023.6110000000044</v>
      </c>
      <c r="DR15" s="166">
        <v>43141.928</v>
      </c>
      <c r="DS15" s="166">
        <f>'1'!CC21-'1'!CB21</f>
        <v>51354.168000000005</v>
      </c>
      <c r="DT15" s="166">
        <f>'1'!CD21-'1'!CC21</f>
        <v>49543.020999999993</v>
      </c>
      <c r="DU15" s="166">
        <f>'1'!CE21-'1'!CD21</f>
        <v>49204.991999999998</v>
      </c>
      <c r="DV15" s="166">
        <f>'1'!CF21-'1'!CE21</f>
        <v>52893.782999999996</v>
      </c>
      <c r="DW15" s="166">
        <f>'1'!CG21-'1'!CF21</f>
        <v>4673.5219999999972</v>
      </c>
      <c r="DX15" s="166">
        <f>'1'!CH21-'1'!CG21</f>
        <v>41807.401000000013</v>
      </c>
      <c r="DY15" s="166">
        <f>'1'!CI21-'1'!CH21</f>
        <v>9476.5470000000205</v>
      </c>
      <c r="DZ15" s="166">
        <f>'1'!CJ21-'1'!CI21</f>
        <v>19774.375999999989</v>
      </c>
      <c r="EA15" s="166">
        <f>'1'!CK21-'1'!CJ21</f>
        <v>18209.011999999988</v>
      </c>
      <c r="EB15" s="166">
        <f>'1'!CL21-'1'!CK21</f>
        <v>20051.940000000002</v>
      </c>
      <c r="EC15" s="166">
        <f>'1'!CM21-'1'!CL21</f>
        <v>11821.706999999995</v>
      </c>
      <c r="ED15" s="166">
        <f>'1'!CO21</f>
        <v>98576.904999999999</v>
      </c>
      <c r="EE15" s="166">
        <f>'1'!CP21-'1'!CO21</f>
        <v>48869.095000000001</v>
      </c>
      <c r="EF15" s="166">
        <f>'1'!CQ21-'1'!CP21</f>
        <v>51628.005999999994</v>
      </c>
      <c r="EG15" s="166">
        <f>'1'!CR21-'1'!CQ21</f>
        <v>4045.1940000000177</v>
      </c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</row>
    <row r="16" spans="1:170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6">
        <f>'1'!BP22-'1'!BO22</f>
        <v>441898.65</v>
      </c>
      <c r="DH16" s="166">
        <f>'1'!BQ22-'1'!BP22</f>
        <v>366255.53399999999</v>
      </c>
      <c r="DI16" s="166">
        <f>'1'!BR22-'1'!BQ22</f>
        <v>317933.56699999992</v>
      </c>
      <c r="DJ16" s="166">
        <f>'1'!BS22-'1'!BR22</f>
        <v>288936.9850000001</v>
      </c>
      <c r="DK16" s="166">
        <f>'1'!BT22-'1'!BS22</f>
        <v>274461.82499999995</v>
      </c>
      <c r="DL16" s="166">
        <f>'1'!BU22-'1'!BT22</f>
        <v>278061.69999999995</v>
      </c>
      <c r="DM16" s="166">
        <f>'1'!BV22-'1'!BU22</f>
        <v>266142.41300000018</v>
      </c>
      <c r="DN16" s="166">
        <f>'1'!BW22-'1'!BV22</f>
        <v>261564.11700000009</v>
      </c>
      <c r="DO16" s="166">
        <f>'1'!BX22-'1'!BW22</f>
        <v>308407.12099999981</v>
      </c>
      <c r="DP16" s="166">
        <f>'1'!BY22-'1'!BX22</f>
        <v>360270.34200000018</v>
      </c>
      <c r="DQ16" s="166">
        <f>'1'!BZ22-'1'!BY22</f>
        <v>652034.43299999973</v>
      </c>
      <c r="DR16" s="166">
        <v>321531.875</v>
      </c>
      <c r="DS16" s="166">
        <f>'1'!CC22-'1'!CB22</f>
        <v>243641.05200000003</v>
      </c>
      <c r="DT16" s="166">
        <f>'1'!CD22-'1'!CC22</f>
        <v>311617.13</v>
      </c>
      <c r="DU16" s="166">
        <f>'1'!CE22-'1'!CD22</f>
        <v>448047.40500000003</v>
      </c>
      <c r="DV16" s="166">
        <f>'1'!CF22-'1'!CE22</f>
        <v>276152.98699999996</v>
      </c>
      <c r="DW16" s="166">
        <f>'1'!CG22-'1'!CF22</f>
        <v>297706.32599999988</v>
      </c>
      <c r="DX16" s="166">
        <f>'1'!CH22-'1'!CG22</f>
        <v>327803.56900000013</v>
      </c>
      <c r="DY16" s="166">
        <f>'1'!CI22-'1'!CH22</f>
        <v>295924.26699999999</v>
      </c>
      <c r="DZ16" s="166">
        <f>'1'!CJ22-'1'!CI22</f>
        <v>250786.07400000002</v>
      </c>
      <c r="EA16" s="166">
        <f>'1'!CK22-'1'!CJ22</f>
        <v>368241.64599999972</v>
      </c>
      <c r="EB16" s="166">
        <f>'1'!CL22-'1'!CK22</f>
        <v>294338.58000000007</v>
      </c>
      <c r="EC16" s="166">
        <f>'1'!CM22-'1'!CL22</f>
        <v>614434.41800000006</v>
      </c>
      <c r="ED16" s="166">
        <f>'1'!CO22</f>
        <v>331213.35399999999</v>
      </c>
      <c r="EE16" s="166">
        <f>'1'!CP22-'1'!CO22</f>
        <v>311752.17499999999</v>
      </c>
      <c r="EF16" s="166">
        <f>'1'!CQ22-'1'!CP22</f>
        <v>394747.96900000004</v>
      </c>
      <c r="EG16" s="166">
        <f>'1'!CR22-'1'!CQ22</f>
        <v>419502.04200000002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</row>
    <row r="17" spans="1:170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6">
        <f>'1'!BP23-'1'!BO23</f>
        <v>407204.36799999996</v>
      </c>
      <c r="DH17" s="166">
        <f>'1'!BQ23-'1'!BP23</f>
        <v>417870.09900000005</v>
      </c>
      <c r="DI17" s="166">
        <f>'1'!BR23-'1'!BQ23</f>
        <v>418779.90299999993</v>
      </c>
      <c r="DJ17" s="166">
        <f>'1'!BS23-'1'!BR23</f>
        <v>377391.91599999997</v>
      </c>
      <c r="DK17" s="166">
        <f>'1'!BT23-'1'!BS23</f>
        <v>394419.79700000025</v>
      </c>
      <c r="DL17" s="166">
        <f>'1'!BU23-'1'!BT23</f>
        <v>353261.48999999976</v>
      </c>
      <c r="DM17" s="166">
        <f>'1'!BV23-'1'!BU23</f>
        <v>420584.63200000022</v>
      </c>
      <c r="DN17" s="166">
        <f>'1'!BW23-'1'!BV23</f>
        <v>361264.73399999971</v>
      </c>
      <c r="DO17" s="166">
        <f>'1'!BX23-'1'!BW23</f>
        <v>447415.49100000039</v>
      </c>
      <c r="DP17" s="166">
        <f>'1'!BY23-'1'!BX23</f>
        <v>416534.52100000018</v>
      </c>
      <c r="DQ17" s="166">
        <f>'1'!BZ23-'1'!BY23</f>
        <v>385554.75399999972</v>
      </c>
      <c r="DR17" s="166">
        <v>456505.84</v>
      </c>
      <c r="DS17" s="166">
        <f>'1'!CC23-'1'!CB23</f>
        <v>425000.43099999992</v>
      </c>
      <c r="DT17" s="166">
        <f>'1'!CD23-'1'!CC23</f>
        <v>397740.48900000006</v>
      </c>
      <c r="DU17" s="166">
        <f>'1'!CE23-'1'!CD23</f>
        <v>454898.11800000002</v>
      </c>
      <c r="DV17" s="166">
        <f>'1'!CF23-'1'!CE23</f>
        <v>418943.79799999995</v>
      </c>
      <c r="DW17" s="166">
        <f>'1'!CG23-'1'!CF23</f>
        <v>415298.07899999991</v>
      </c>
      <c r="DX17" s="166">
        <f>'1'!CH23-'1'!CG23</f>
        <v>439503.91000000015</v>
      </c>
      <c r="DY17" s="166">
        <f>'1'!CI23-'1'!CH23</f>
        <v>414533.56999999983</v>
      </c>
      <c r="DZ17" s="166">
        <f>'1'!CJ23-'1'!CI23</f>
        <v>422487.91200000001</v>
      </c>
      <c r="EA17" s="166">
        <f>'1'!CK23-'1'!CJ23</f>
        <v>467974.06799999997</v>
      </c>
      <c r="EB17" s="166">
        <f>'1'!CL23-'1'!CK23</f>
        <v>443993.65100000054</v>
      </c>
      <c r="EC17" s="166">
        <f>'1'!CM23-'1'!CL23</f>
        <v>450460.79399999976</v>
      </c>
      <c r="ED17" s="166">
        <f>'1'!CO23</f>
        <v>474908.63199999998</v>
      </c>
      <c r="EE17" s="166">
        <f>'1'!CP23-'1'!CO23</f>
        <v>458548.06200000003</v>
      </c>
      <c r="EF17" s="166">
        <f>'1'!CQ23-'1'!CP23</f>
        <v>460593.58500000008</v>
      </c>
      <c r="EG17" s="166">
        <f>'1'!CR23-'1'!CQ23</f>
        <v>526546.42099999986</v>
      </c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</row>
    <row r="18" spans="1:170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6">
        <f>'1'!BP24-'1'!BO24</f>
        <v>49589.114000000001</v>
      </c>
      <c r="DH18" s="166">
        <f>'1'!BQ24-'1'!BP24</f>
        <v>62456.088000000018</v>
      </c>
      <c r="DI18" s="166">
        <f>'1'!BR24-'1'!BQ24</f>
        <v>85455.892999999982</v>
      </c>
      <c r="DJ18" s="166">
        <f>'1'!BS24-'1'!BR24</f>
        <v>81711.911000000022</v>
      </c>
      <c r="DK18" s="166">
        <f>'1'!BT24-'1'!BS24</f>
        <v>124719.62299999996</v>
      </c>
      <c r="DL18" s="166">
        <f>'1'!BU24-'1'!BT24</f>
        <v>106856.36599999998</v>
      </c>
      <c r="DM18" s="166">
        <f>'1'!BV24-'1'!BU24</f>
        <v>134463.66600000008</v>
      </c>
      <c r="DN18" s="166">
        <f>'1'!BW24-'1'!BV24</f>
        <v>116044.13099999994</v>
      </c>
      <c r="DO18" s="166">
        <f>'1'!BX24-'1'!BW24</f>
        <v>130088.89100000006</v>
      </c>
      <c r="DP18" s="166">
        <f>'1'!BY24-'1'!BX24</f>
        <v>116129.07799999986</v>
      </c>
      <c r="DQ18" s="166">
        <f>'1'!BZ24-'1'!BY24</f>
        <v>368167.37600000016</v>
      </c>
      <c r="DR18" s="166">
        <v>65372.525999999998</v>
      </c>
      <c r="DS18" s="166">
        <f>'1'!CC24-'1'!CB24</f>
        <v>187115.83000000002</v>
      </c>
      <c r="DT18" s="166">
        <f>'1'!CD24-'1'!CC24</f>
        <v>45996.530999999988</v>
      </c>
      <c r="DU18" s="166">
        <f>'1'!CE24-'1'!CD24</f>
        <v>89184.071999999986</v>
      </c>
      <c r="DV18" s="166">
        <f>'1'!CF24-'1'!CE24</f>
        <v>81826.278000000049</v>
      </c>
      <c r="DW18" s="166">
        <f>'1'!CG24-'1'!CF24</f>
        <v>90439.352000000014</v>
      </c>
      <c r="DX18" s="166">
        <f>'1'!CH24-'1'!CG24</f>
        <v>124616.81799999997</v>
      </c>
      <c r="DY18" s="166">
        <f>'1'!CI24-'1'!CH24</f>
        <v>125442.995</v>
      </c>
      <c r="DZ18" s="166">
        <f>'1'!CJ24-'1'!CI24</f>
        <v>131045.85400000005</v>
      </c>
      <c r="EA18" s="166">
        <f>'1'!CK24-'1'!CJ24</f>
        <v>166391.81700000004</v>
      </c>
      <c r="EB18" s="166">
        <f>'1'!CL24-'1'!CK24</f>
        <v>145371.6939999999</v>
      </c>
      <c r="EC18" s="166">
        <f>'1'!CM24-'1'!CL24</f>
        <v>297135.89899999998</v>
      </c>
      <c r="ED18" s="166">
        <f>'1'!CO24</f>
        <v>95708.82</v>
      </c>
      <c r="EE18" s="166">
        <f>'1'!CP24-'1'!CO24</f>
        <v>81557.924999999988</v>
      </c>
      <c r="EF18" s="166">
        <f>'1'!CQ24-'1'!CP24</f>
        <v>152875.50400000002</v>
      </c>
      <c r="EG18" s="166">
        <f>'1'!CR24-'1'!CQ24</f>
        <v>125464.08299999998</v>
      </c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</row>
    <row r="19" spans="1:170" s="77" customFormat="1" ht="15" customHeight="1">
      <c r="A19" s="8" t="s">
        <v>252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6">
        <f>'1'!BP25-'1'!BO25</f>
        <v>42297.249000000003</v>
      </c>
      <c r="DH19" s="166">
        <f>'1'!BQ25-'1'!BP25</f>
        <v>32454.504000000001</v>
      </c>
      <c r="DI19" s="166">
        <f>'1'!BR25-'1'!BQ25</f>
        <v>33832.423999999999</v>
      </c>
      <c r="DJ19" s="166">
        <f>'1'!BS25-'1'!BR25</f>
        <v>30403.771999999997</v>
      </c>
      <c r="DK19" s="166">
        <f>'1'!BT25-'1'!BS25</f>
        <v>42986.394</v>
      </c>
      <c r="DL19" s="166">
        <f>'1'!BU25-'1'!BT25</f>
        <v>38769.372000000003</v>
      </c>
      <c r="DM19" s="166">
        <f>'1'!BV25-'1'!BU25</f>
        <v>31652.244999999995</v>
      </c>
      <c r="DN19" s="166">
        <f>'1'!BW25-'1'!BV25</f>
        <v>34473.744999999995</v>
      </c>
      <c r="DO19" s="166">
        <f>'1'!BX25-'1'!BW25</f>
        <v>36563.446999999986</v>
      </c>
      <c r="DP19" s="166">
        <f>'1'!BY25-'1'!BX25</f>
        <v>51771.688000000024</v>
      </c>
      <c r="DQ19" s="166">
        <f>'1'!BZ25-'1'!BY25</f>
        <v>84864.627999999968</v>
      </c>
      <c r="DR19" s="166">
        <v>33436.46</v>
      </c>
      <c r="DS19" s="166">
        <f>'1'!CC25-'1'!CB25</f>
        <v>36496.756000000001</v>
      </c>
      <c r="DT19" s="166">
        <f>'1'!CD25-'1'!CC25</f>
        <v>53370.572</v>
      </c>
      <c r="DU19" s="166">
        <f>'1'!CE25-'1'!CD25</f>
        <v>31923.318999999989</v>
      </c>
      <c r="DV19" s="166">
        <f>'1'!CF25-'1'!CE25</f>
        <v>31886.981</v>
      </c>
      <c r="DW19" s="166">
        <f>'1'!CG25-'1'!CF25</f>
        <v>42879.583000000013</v>
      </c>
      <c r="DX19" s="166">
        <f>'1'!CH25-'1'!CG25</f>
        <v>51525.65300000002</v>
      </c>
      <c r="DY19" s="166">
        <f>'1'!CI25-'1'!CH25</f>
        <v>33641.510999999999</v>
      </c>
      <c r="DZ19" s="166">
        <f>'1'!CJ25-'1'!CI25</f>
        <v>33542.256999999983</v>
      </c>
      <c r="EA19" s="166">
        <f>'1'!CK25-'1'!CJ25</f>
        <v>43566.243000000017</v>
      </c>
      <c r="EB19" s="166">
        <f>'1'!CL25-'1'!CK25</f>
        <v>42295.447999999975</v>
      </c>
      <c r="EC19" s="166">
        <f>'1'!CM25-'1'!CL25</f>
        <v>45053.276000000013</v>
      </c>
      <c r="ED19" s="166">
        <f>'1'!CO25</f>
        <v>42282.567000000003</v>
      </c>
      <c r="EE19" s="166">
        <f>'1'!CP25-'1'!CO25</f>
        <v>35291.124999999993</v>
      </c>
      <c r="EF19" s="166">
        <f>'1'!CQ25-'1'!CP25</f>
        <v>47773.794999999998</v>
      </c>
      <c r="EG19" s="166">
        <f>'1'!CR25-'1'!CQ25</f>
        <v>36980.418000000005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</row>
    <row r="20" spans="1:170" s="76" customFormat="1" ht="15" customHeight="1">
      <c r="A20" s="28" t="s">
        <v>15</v>
      </c>
      <c r="B20" s="6">
        <f t="shared" ref="B20:M20" si="33">B21-B22</f>
        <v>64036.408440000145</v>
      </c>
      <c r="C20" s="6">
        <f t="shared" si="33"/>
        <v>-35769.753000000026</v>
      </c>
      <c r="D20" s="6">
        <f t="shared" si="33"/>
        <v>-79528.520599999931</v>
      </c>
      <c r="E20" s="6">
        <f t="shared" si="33"/>
        <v>-31617.244479999761</v>
      </c>
      <c r="F20" s="6">
        <f t="shared" si="33"/>
        <v>86436.632369999948</v>
      </c>
      <c r="G20" s="6">
        <f t="shared" si="33"/>
        <v>216042.11429000006</v>
      </c>
      <c r="H20" s="6">
        <f t="shared" si="33"/>
        <v>16349.067570000188</v>
      </c>
      <c r="I20" s="6">
        <f t="shared" si="33"/>
        <v>49425.088450000156</v>
      </c>
      <c r="J20" s="6">
        <f t="shared" si="33"/>
        <v>13523.391199999955</v>
      </c>
      <c r="K20" s="6">
        <f t="shared" si="33"/>
        <v>-63079.475259999977</v>
      </c>
      <c r="L20" s="6">
        <f t="shared" si="33"/>
        <v>-157382.01886999985</v>
      </c>
      <c r="M20" s="6">
        <f t="shared" si="33"/>
        <v>-391474.97858000023</v>
      </c>
      <c r="N20" s="6">
        <f t="shared" ref="N20:W20" si="34">N21-N22</f>
        <v>70449.853129999945</v>
      </c>
      <c r="O20" s="6">
        <f t="shared" si="34"/>
        <v>-96460.673860000214</v>
      </c>
      <c r="P20" s="6">
        <f t="shared" si="34"/>
        <v>-5069.5662799999118</v>
      </c>
      <c r="Q20" s="6">
        <f t="shared" si="34"/>
        <v>127440.67003000004</v>
      </c>
      <c r="R20" s="6">
        <f t="shared" si="34"/>
        <v>87297.660309999948</v>
      </c>
      <c r="S20" s="6">
        <f t="shared" si="34"/>
        <v>-21675.68452000001</v>
      </c>
      <c r="T20" s="6">
        <f t="shared" si="34"/>
        <v>-62919.733189999708</v>
      </c>
      <c r="U20" s="6">
        <f t="shared" si="34"/>
        <v>113059.39534000005</v>
      </c>
      <c r="V20" s="6">
        <f t="shared" si="34"/>
        <v>-71600.947970000037</v>
      </c>
      <c r="W20" s="6">
        <f t="shared" si="34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C20" s="85">
        <f>'1'!CM26-'1'!CL26</f>
        <v>-653217</v>
      </c>
      <c r="ED20" s="85">
        <f>'1'!CO26</f>
        <v>-31811</v>
      </c>
      <c r="EE20" s="85">
        <f>'1'!CP26-'1'!CO26</f>
        <v>-140974</v>
      </c>
      <c r="EF20" s="85">
        <f>'1'!CQ26-'1'!CP26</f>
        <v>-482642</v>
      </c>
      <c r="EG20" s="85">
        <f>'1'!CR26-'1'!CQ26</f>
        <v>-240612</v>
      </c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</row>
    <row r="21" spans="1:170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6">
        <f>'1'!BP27-'1'!BO27</f>
        <v>1715536</v>
      </c>
      <c r="DH21" s="166">
        <f>'1'!BQ27-'1'!BP27</f>
        <v>1019919</v>
      </c>
      <c r="DI21" s="166">
        <f>'1'!BR27-'1'!BQ27</f>
        <v>420767</v>
      </c>
      <c r="DJ21" s="166">
        <f>'1'!BS27-'1'!BR27</f>
        <v>2567520</v>
      </c>
      <c r="DK21" s="166">
        <f>'1'!BT27-'1'!BS27</f>
        <v>-267672</v>
      </c>
      <c r="DL21" s="166">
        <f>'1'!BU27-'1'!BT27</f>
        <v>1241741</v>
      </c>
      <c r="DM21" s="166">
        <f>'1'!BV27-'1'!BU27</f>
        <v>1050106</v>
      </c>
      <c r="DN21" s="166">
        <f>'1'!BW27-'1'!BV27</f>
        <v>1044819</v>
      </c>
      <c r="DO21" s="166">
        <f>'1'!BX27-'1'!BW27</f>
        <v>1033595</v>
      </c>
      <c r="DP21" s="166">
        <f>'1'!BY27-'1'!BX27</f>
        <v>1129578</v>
      </c>
      <c r="DQ21" s="166">
        <f>'1'!BZ27-'1'!BY27</f>
        <v>1152846</v>
      </c>
      <c r="DR21" s="166">
        <v>1342740</v>
      </c>
      <c r="DS21" s="166">
        <f>'1'!CC27-'1'!CB27</f>
        <v>1110583</v>
      </c>
      <c r="DT21" s="166">
        <f>'1'!CD27-'1'!CC27</f>
        <v>1050083</v>
      </c>
      <c r="DU21" s="166">
        <f>'1'!CE27-'1'!CD27</f>
        <v>1240633</v>
      </c>
      <c r="DV21" s="166">
        <f>'1'!CF27-'1'!CE27</f>
        <v>1484666</v>
      </c>
      <c r="DW21" s="166">
        <f>'1'!CG27-'1'!CF27</f>
        <v>1585954</v>
      </c>
      <c r="DX21" s="166">
        <f>'1'!CH27-'1'!CG27</f>
        <v>1261042</v>
      </c>
      <c r="DY21" s="166">
        <f>'1'!CI27-'1'!CH27</f>
        <v>1122661</v>
      </c>
      <c r="DZ21" s="166">
        <f>'1'!CJ27-'1'!CI27</f>
        <v>1046630</v>
      </c>
      <c r="EA21" s="166">
        <f>'1'!CK27-'1'!CJ27</f>
        <v>1070073</v>
      </c>
      <c r="EB21" s="166">
        <f>'1'!CL27-'1'!CK27</f>
        <v>1019965</v>
      </c>
      <c r="EC21" s="166">
        <f>'1'!CM27-'1'!CL27</f>
        <v>1240276</v>
      </c>
      <c r="ED21" s="166">
        <f>'1'!CO27</f>
        <v>1283239</v>
      </c>
      <c r="EE21" s="166">
        <f>'1'!CP27-'1'!CO27</f>
        <v>1215175</v>
      </c>
      <c r="EF21" s="166">
        <f>'1'!CQ27-'1'!CP27</f>
        <v>922236</v>
      </c>
      <c r="EG21" s="166">
        <f>'1'!CR27-'1'!CQ27</f>
        <v>1209262</v>
      </c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</row>
    <row r="22" spans="1:170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6">
        <f>'1'!BP28-'1'!BO28</f>
        <v>1706784</v>
      </c>
      <c r="DH22" s="166">
        <f>'1'!BQ28-'1'!BP28</f>
        <v>1431299</v>
      </c>
      <c r="DI22" s="166">
        <f>'1'!BR28-'1'!BQ28</f>
        <v>372576</v>
      </c>
      <c r="DJ22" s="166">
        <f>'1'!BS28-'1'!BR28</f>
        <v>2406369</v>
      </c>
      <c r="DK22" s="166">
        <f>'1'!BT28-'1'!BS28</f>
        <v>-113053</v>
      </c>
      <c r="DL22" s="166">
        <f>'1'!BU28-'1'!BT28</f>
        <v>1031700</v>
      </c>
      <c r="DM22" s="166">
        <f>'1'!BV28-'1'!BU28</f>
        <v>1056215</v>
      </c>
      <c r="DN22" s="166">
        <f>'1'!BW28-'1'!BV28</f>
        <v>1046338</v>
      </c>
      <c r="DO22" s="166">
        <f>'1'!BX28-'1'!BW28</f>
        <v>1240400</v>
      </c>
      <c r="DP22" s="166">
        <f>'1'!BY28-'1'!BX28</f>
        <v>1223155</v>
      </c>
      <c r="DQ22" s="166">
        <f>'1'!BZ28-'1'!BY28</f>
        <v>2112446</v>
      </c>
      <c r="DR22" s="166">
        <v>1175965</v>
      </c>
      <c r="DS22" s="166">
        <f>'1'!CC28-'1'!CB28</f>
        <v>1224665</v>
      </c>
      <c r="DT22" s="166">
        <f>'1'!CD28-'1'!CC28</f>
        <v>1129047</v>
      </c>
      <c r="DU22" s="166">
        <f>'1'!CE28-'1'!CD28</f>
        <v>1389622</v>
      </c>
      <c r="DV22" s="166">
        <f>'1'!CF28-'1'!CE28</f>
        <v>1133398</v>
      </c>
      <c r="DW22" s="166">
        <f>'1'!CG28-'1'!CF28</f>
        <v>1253611</v>
      </c>
      <c r="DX22" s="166">
        <f>'1'!CH28-'1'!CG28</f>
        <v>1237646</v>
      </c>
      <c r="DY22" s="166">
        <f>'1'!CI28-'1'!CH28</f>
        <v>1089222</v>
      </c>
      <c r="DZ22" s="166">
        <f>'1'!CJ28-'1'!CI28</f>
        <v>1114346</v>
      </c>
      <c r="EA22" s="166">
        <f>'1'!CK28-'1'!CJ28</f>
        <v>1371779</v>
      </c>
      <c r="EB22" s="166">
        <f>'1'!CL28-'1'!CK28</f>
        <v>1247350</v>
      </c>
      <c r="EC22" s="166">
        <f>'1'!CM28-'1'!CL28</f>
        <v>1893493</v>
      </c>
      <c r="ED22" s="166">
        <f>'1'!CO28</f>
        <v>1315050</v>
      </c>
      <c r="EE22" s="166">
        <f>'1'!CP28-'1'!CO28</f>
        <v>1356149</v>
      </c>
      <c r="EF22" s="166">
        <f>'1'!CQ28-'1'!CP28</f>
        <v>1404878</v>
      </c>
      <c r="EG22" s="166">
        <f>'1'!CR28-'1'!CQ28</f>
        <v>1449874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</row>
    <row r="23" spans="1:170" s="76" customFormat="1" ht="15" customHeight="1">
      <c r="A23" s="28" t="s">
        <v>16</v>
      </c>
      <c r="B23" s="6">
        <f t="shared" ref="B23:N23" si="35">B24-B25</f>
        <v>33260.755569999979</v>
      </c>
      <c r="C23" s="6">
        <f t="shared" si="35"/>
        <v>-33571.760830000043</v>
      </c>
      <c r="D23" s="6">
        <f t="shared" si="35"/>
        <v>-79946.533859999967</v>
      </c>
      <c r="E23" s="6">
        <f t="shared" si="35"/>
        <v>-1085.7182200000971</v>
      </c>
      <c r="F23" s="6">
        <f t="shared" si="35"/>
        <v>44687.930449999985</v>
      </c>
      <c r="G23" s="6">
        <f t="shared" si="35"/>
        <v>217242.68502999994</v>
      </c>
      <c r="H23" s="6">
        <f t="shared" si="35"/>
        <v>-8189.4366899999441</v>
      </c>
      <c r="I23" s="6">
        <f t="shared" si="35"/>
        <v>23956.386670000094</v>
      </c>
      <c r="J23" s="6">
        <f t="shared" si="35"/>
        <v>22441.390190000006</v>
      </c>
      <c r="K23" s="6">
        <f t="shared" si="35"/>
        <v>-74756.53781999991</v>
      </c>
      <c r="L23" s="6">
        <f t="shared" si="35"/>
        <v>-158897.42370000004</v>
      </c>
      <c r="M23" s="6">
        <f t="shared" si="35"/>
        <v>-390910.41116000002</v>
      </c>
      <c r="N23" s="6">
        <f t="shared" si="35"/>
        <v>41492.084689999989</v>
      </c>
      <c r="O23" s="6">
        <f t="shared" ref="O23:W23" si="36">O24-O25</f>
        <v>-91743.045259999984</v>
      </c>
      <c r="P23" s="6">
        <f t="shared" si="36"/>
        <v>33964.095859999943</v>
      </c>
      <c r="Q23" s="6">
        <f t="shared" si="36"/>
        <v>117639.3283200002</v>
      </c>
      <c r="R23" s="6">
        <f t="shared" si="36"/>
        <v>53160.925479999976</v>
      </c>
      <c r="S23" s="6">
        <f t="shared" si="36"/>
        <v>-3707.6821200000704</v>
      </c>
      <c r="T23" s="6">
        <f t="shared" si="36"/>
        <v>-93968.616989999893</v>
      </c>
      <c r="U23" s="6">
        <f t="shared" si="36"/>
        <v>87535.837600000086</v>
      </c>
      <c r="V23" s="6">
        <f t="shared" si="36"/>
        <v>-50178.648909999873</v>
      </c>
      <c r="W23" s="6">
        <f t="shared" si="36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C23" s="85">
        <f>'1'!CM29-'1'!CL29</f>
        <v>-637200.17899999954</v>
      </c>
      <c r="ED23" s="85">
        <f>'1'!CO29</f>
        <v>-125998.94214000006</v>
      </c>
      <c r="EE23" s="85">
        <f>'1'!CP29-'1'!CO29</f>
        <v>-147079.79073999997</v>
      </c>
      <c r="EF23" s="85">
        <f>'1'!CQ29-'1'!CP29</f>
        <v>-494211.51634999923</v>
      </c>
      <c r="EG23" s="85">
        <f>'1'!CR29-'1'!CQ29</f>
        <v>-217928.95407000044</v>
      </c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</row>
    <row r="24" spans="1:170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6">
        <f>'1'!BP30-'1'!BO30</f>
        <v>791517.95499999996</v>
      </c>
      <c r="DH24" s="166">
        <f>'1'!BQ30-'1'!BP30</f>
        <v>533224.21400000015</v>
      </c>
      <c r="DI24" s="166">
        <f>'1'!BR30-'1'!BQ30</f>
        <v>895993.7359999998</v>
      </c>
      <c r="DJ24" s="166">
        <f>'1'!BS30-'1'!BR30</f>
        <v>845157.91200000001</v>
      </c>
      <c r="DK24" s="166">
        <f>'1'!BT30-'1'!BS30</f>
        <v>760374.0129999998</v>
      </c>
      <c r="DL24" s="166">
        <f>'1'!BU30-'1'!BT30</f>
        <v>871539.88400000054</v>
      </c>
      <c r="DM24" s="166">
        <f>'1'!BV30-'1'!BU30</f>
        <v>678022.74699999951</v>
      </c>
      <c r="DN24" s="166">
        <f>'1'!BW30-'1'!BV30</f>
        <v>678643.79200000037</v>
      </c>
      <c r="DO24" s="166">
        <f>'1'!BX30-'1'!BW30</f>
        <v>689799.53000000026</v>
      </c>
      <c r="DP24" s="166">
        <f>'1'!BY30-'1'!BX30</f>
        <v>777169.42199999932</v>
      </c>
      <c r="DQ24" s="166">
        <f>'1'!BZ30-'1'!BY30</f>
        <v>799044.44299999997</v>
      </c>
      <c r="DR24" s="166">
        <v>921874.01300000004</v>
      </c>
      <c r="DS24" s="166">
        <f>'1'!CC30-'1'!CB30</f>
        <v>745501.69200000004</v>
      </c>
      <c r="DT24" s="166">
        <f>'1'!CD30-'1'!CC30</f>
        <v>701863.54900000012</v>
      </c>
      <c r="DU24" s="166">
        <f>'1'!CE30-'1'!CD30</f>
        <v>828734.15099999961</v>
      </c>
      <c r="DV24" s="166">
        <f>'1'!CF30-'1'!CE30</f>
        <v>1112888.0019999999</v>
      </c>
      <c r="DW24" s="166">
        <f>'1'!CG30-'1'!CF30</f>
        <v>1214401.3590000002</v>
      </c>
      <c r="DX24" s="166">
        <f>'1'!CH30-'1'!CG30</f>
        <v>876243.38400000054</v>
      </c>
      <c r="DY24" s="166">
        <f>'1'!CI30-'1'!CH30</f>
        <v>715432.98199999984</v>
      </c>
      <c r="DZ24" s="166">
        <f>'1'!CJ30-'1'!CI30</f>
        <v>684282.52099999972</v>
      </c>
      <c r="EA24" s="166">
        <f>'1'!CK30-'1'!CJ30</f>
        <v>685390.35200000089</v>
      </c>
      <c r="EB24" s="166">
        <f>'1'!CL30-'1'!CK30</f>
        <v>639433.59499999881</v>
      </c>
      <c r="EC24" s="166">
        <f>'1'!CM30-'1'!CL30</f>
        <v>877363.22499999963</v>
      </c>
      <c r="ED24" s="166">
        <f>'1'!CO30</f>
        <v>821224.52960000001</v>
      </c>
      <c r="EE24" s="166">
        <f>'1'!CP30-'1'!CO30</f>
        <v>845118.13847999997</v>
      </c>
      <c r="EF24" s="166">
        <f>'1'!CQ30-'1'!CP30</f>
        <v>541443.01641000039</v>
      </c>
      <c r="EG24" s="166">
        <f>'1'!CR30-'1'!CQ30</f>
        <v>810168.96401999984</v>
      </c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</row>
    <row r="25" spans="1:170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6">
        <f>'1'!BP31-'1'!BO31</f>
        <v>903091.85199999996</v>
      </c>
      <c r="DH25" s="166">
        <f>'1'!BQ31-'1'!BP31</f>
        <v>801670.58800000022</v>
      </c>
      <c r="DI25" s="166">
        <f>'1'!BR31-'1'!BQ31</f>
        <v>815830.90100000007</v>
      </c>
      <c r="DJ25" s="166">
        <f>'1'!BS31-'1'!BR31</f>
        <v>775435.19699999969</v>
      </c>
      <c r="DK25" s="166">
        <f>'1'!BT31-'1'!BS31</f>
        <v>872192.84400000051</v>
      </c>
      <c r="DL25" s="166">
        <f>'1'!BU31-'1'!BT31</f>
        <v>775102.30700000003</v>
      </c>
      <c r="DM25" s="166">
        <f>'1'!BV31-'1'!BU31</f>
        <v>704584.15599999949</v>
      </c>
      <c r="DN25" s="166">
        <f>'1'!BW31-'1'!BV31</f>
        <v>743373.68900000025</v>
      </c>
      <c r="DO25" s="166">
        <f>'1'!BX31-'1'!BW31</f>
        <v>943256.70699999947</v>
      </c>
      <c r="DP25" s="166">
        <f>'1'!BY31-'1'!BX31</f>
        <v>864698.93900000118</v>
      </c>
      <c r="DQ25" s="166">
        <f>'1'!BZ31-'1'!BY31</f>
        <v>1757604.8879999984</v>
      </c>
      <c r="DR25" s="166">
        <v>809894.40800000005</v>
      </c>
      <c r="DS25" s="166">
        <f>'1'!CC31-'1'!CB31</f>
        <v>879752.527</v>
      </c>
      <c r="DT25" s="166">
        <f>'1'!CD31-'1'!CC31</f>
        <v>805671.92599999998</v>
      </c>
      <c r="DU25" s="166">
        <f>'1'!CE31-'1'!CD31</f>
        <v>1076388.2510000002</v>
      </c>
      <c r="DV25" s="166">
        <f>'1'!CF31-'1'!CE31</f>
        <v>783793.17400000012</v>
      </c>
      <c r="DW25" s="166">
        <f>'1'!CG31-'1'!CF31</f>
        <v>913333.06599999964</v>
      </c>
      <c r="DX25" s="166">
        <f>'1'!CH31-'1'!CG31</f>
        <v>919897.35099999979</v>
      </c>
      <c r="DY25" s="166">
        <f>'1'!CI31-'1'!CH31</f>
        <v>731294.85800000001</v>
      </c>
      <c r="DZ25" s="166">
        <f>'1'!CJ31-'1'!CI31</f>
        <v>759501.68300000019</v>
      </c>
      <c r="EA25" s="166">
        <f>'1'!CK31-'1'!CJ31</f>
        <v>1004326.5670000007</v>
      </c>
      <c r="EB25" s="166">
        <f>'1'!CL31-'1'!CK31</f>
        <v>887610.95199999958</v>
      </c>
      <c r="EC25" s="166">
        <f>'1'!CM31-'1'!CL31</f>
        <v>1514563.4039999992</v>
      </c>
      <c r="ED25" s="166">
        <f>'1'!CO31</f>
        <v>947223.47174000007</v>
      </c>
      <c r="EE25" s="166">
        <f>'1'!CP31-'1'!CO31</f>
        <v>992197.92921999993</v>
      </c>
      <c r="EF25" s="166">
        <f>'1'!CQ31-'1'!CP31</f>
        <v>1035654.5327599996</v>
      </c>
      <c r="EG25" s="166">
        <f>'1'!CR31-'1'!CQ31</f>
        <v>1028097.9180900003</v>
      </c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</row>
    <row r="26" spans="1:170" s="76" customFormat="1" ht="15" customHeight="1">
      <c r="A26" s="28" t="s">
        <v>17</v>
      </c>
      <c r="B26" s="6">
        <f t="shared" ref="B26:M26" si="37">B27-B28</f>
        <v>28085.940999999992</v>
      </c>
      <c r="C26" s="6">
        <f t="shared" si="37"/>
        <v>-2209.6659999999974</v>
      </c>
      <c r="D26" s="6">
        <f t="shared" si="37"/>
        <v>-2076.3969999999972</v>
      </c>
      <c r="E26" s="6">
        <f t="shared" si="37"/>
        <v>-25772.334000000003</v>
      </c>
      <c r="F26" s="6">
        <f t="shared" si="37"/>
        <v>46831.74199999994</v>
      </c>
      <c r="G26" s="6">
        <f t="shared" si="37"/>
        <v>3166.2689999999711</v>
      </c>
      <c r="H26" s="6">
        <f t="shared" si="37"/>
        <v>29314.533579999959</v>
      </c>
      <c r="I26" s="6">
        <f t="shared" si="37"/>
        <v>18834.974999999977</v>
      </c>
      <c r="J26" s="6">
        <f t="shared" si="37"/>
        <v>-7998.9459900000074</v>
      </c>
      <c r="K26" s="6">
        <f t="shared" si="37"/>
        <v>15404.581549999944</v>
      </c>
      <c r="L26" s="6">
        <f t="shared" si="37"/>
        <v>3880.22199000002</v>
      </c>
      <c r="M26" s="6">
        <f t="shared" si="37"/>
        <v>-7109.0895699999237</v>
      </c>
      <c r="N26" s="6">
        <f t="shared" ref="N26:W26" si="38">N27-N28</f>
        <v>30293.167959999992</v>
      </c>
      <c r="O26" s="6">
        <f t="shared" si="38"/>
        <v>-3741.2102699999814</v>
      </c>
      <c r="P26" s="6">
        <f t="shared" si="38"/>
        <v>-35745.109509999893</v>
      </c>
      <c r="Q26" s="6">
        <f t="shared" si="38"/>
        <v>10894.002750000014</v>
      </c>
      <c r="R26" s="6">
        <f t="shared" si="38"/>
        <v>39042.931069999991</v>
      </c>
      <c r="S26" s="6">
        <f t="shared" si="38"/>
        <v>-19439.325179999956</v>
      </c>
      <c r="T26" s="6">
        <f t="shared" si="38"/>
        <v>33475.480979999935</v>
      </c>
      <c r="U26" s="6">
        <f t="shared" si="38"/>
        <v>26066.225219999964</v>
      </c>
      <c r="V26" s="6">
        <f t="shared" si="38"/>
        <v>-19741.605299999967</v>
      </c>
      <c r="W26" s="6">
        <f t="shared" si="38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C26" s="85">
        <f>'1'!CM32-'1'!CL32</f>
        <v>-3763.7970000002533</v>
      </c>
      <c r="ED26" s="85">
        <f>'1'!CO32</f>
        <v>82756.072209999897</v>
      </c>
      <c r="EE26" s="85">
        <f>'1'!CP32-'1'!CO32</f>
        <v>-1511.5017999998527</v>
      </c>
      <c r="EF26" s="85">
        <f>'1'!CQ32-'1'!CP32</f>
        <v>17319.758219999843</v>
      </c>
      <c r="EG26" s="85">
        <f>'1'!CR32-'1'!CQ32</f>
        <v>-33343.89833999984</v>
      </c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</row>
    <row r="27" spans="1:170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6">
        <f>'1'!BP33-'1'!BO33</f>
        <v>325763.82200000004</v>
      </c>
      <c r="DH27" s="166">
        <f>'1'!BQ33-'1'!BP33</f>
        <v>269347.90399999998</v>
      </c>
      <c r="DI27" s="166">
        <f>'1'!BR33-'1'!BQ33</f>
        <v>358546.38600000006</v>
      </c>
      <c r="DJ27" s="166">
        <f>'1'!BS33-'1'!BR33</f>
        <v>351917.30299999984</v>
      </c>
      <c r="DK27" s="166">
        <f>'1'!BT33-'1'!BS33</f>
        <v>365282.09200000018</v>
      </c>
      <c r="DL27" s="166">
        <f>'1'!BU33-'1'!BT33</f>
        <v>375551.06199999969</v>
      </c>
      <c r="DM27" s="166">
        <f>'1'!BV33-'1'!BU33</f>
        <v>366816.51100000041</v>
      </c>
      <c r="DN27" s="166">
        <f>'1'!BW33-'1'!BV33</f>
        <v>370049.79099999974</v>
      </c>
      <c r="DO27" s="166">
        <f>'1'!BX33-'1'!BW33</f>
        <v>352599.45699999994</v>
      </c>
      <c r="DP27" s="166">
        <f>'1'!BY33-'1'!BX33</f>
        <v>361097.13400000008</v>
      </c>
      <c r="DQ27" s="166">
        <f>'1'!BZ33-'1'!BY33</f>
        <v>355952.14200000046</v>
      </c>
      <c r="DR27" s="166">
        <v>418920.08</v>
      </c>
      <c r="DS27" s="166">
        <f>'1'!CC33-'1'!CB33</f>
        <v>375519.64900000003</v>
      </c>
      <c r="DT27" s="166">
        <f>'1'!CD33-'1'!CC33</f>
        <v>354904.03700000001</v>
      </c>
      <c r="DU27" s="166">
        <f>'1'!CE33-'1'!CD33</f>
        <v>418219.87999999989</v>
      </c>
      <c r="DV27" s="166">
        <f>'1'!CF33-'1'!CE33</f>
        <v>380821.70200000005</v>
      </c>
      <c r="DW27" s="166">
        <f>'1'!CG33-'1'!CF33</f>
        <v>382971.3600000001</v>
      </c>
      <c r="DX27" s="166">
        <f>'1'!CH33-'1'!CG33</f>
        <v>394615.49099999992</v>
      </c>
      <c r="DY27" s="166">
        <f>'1'!CI33-'1'!CH33</f>
        <v>401394.84700000007</v>
      </c>
      <c r="DZ27" s="166">
        <f>'1'!CJ33-'1'!CI33</f>
        <v>369593.38199999975</v>
      </c>
      <c r="EA27" s="166">
        <f>'1'!CK33-'1'!CJ33</f>
        <v>394067.81799999997</v>
      </c>
      <c r="EB27" s="166">
        <f>'1'!CL33-'1'!CK33</f>
        <v>383293.73800000036</v>
      </c>
      <c r="EC27" s="166">
        <f>'1'!CM33-'1'!CL33</f>
        <v>374702.53699999955</v>
      </c>
      <c r="ED27" s="166">
        <f>'1'!CO33</f>
        <v>467815.38360999996</v>
      </c>
      <c r="EE27" s="166">
        <f>'1'!CP33-'1'!CO33</f>
        <v>380804.92089000001</v>
      </c>
      <c r="EF27" s="166">
        <f>'1'!CQ33-'1'!CP33</f>
        <v>399315.07610999991</v>
      </c>
      <c r="EG27" s="166">
        <f>'1'!CR33-'1'!CQ33</f>
        <v>411874.29661999992</v>
      </c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</row>
    <row r="28" spans="1:170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6">
        <f>'1'!BP34-'1'!BO34</f>
        <v>338753.30000000005</v>
      </c>
      <c r="DH28" s="166">
        <f>'1'!BQ34-'1'!BP34</f>
        <v>346087.76</v>
      </c>
      <c r="DI28" s="166">
        <f>'1'!BR34-'1'!BQ34</f>
        <v>349816.348</v>
      </c>
      <c r="DJ28" s="166">
        <f>'1'!BS34-'1'!BR34</f>
        <v>311041.83999999985</v>
      </c>
      <c r="DK28" s="166">
        <f>'1'!BT34-'1'!BS34</f>
        <v>328139.66400000011</v>
      </c>
      <c r="DL28" s="166">
        <f>'1'!BU34-'1'!BT34</f>
        <v>293936.46400000015</v>
      </c>
      <c r="DM28" s="166">
        <f>'1'!BV34-'1'!BU34</f>
        <v>354471.0839999998</v>
      </c>
      <c r="DN28" s="166">
        <f>'1'!BW34-'1'!BV34</f>
        <v>298878.2790000001</v>
      </c>
      <c r="DO28" s="166">
        <f>'1'!BX34-'1'!BW34</f>
        <v>331478.7629999998</v>
      </c>
      <c r="DP28" s="166">
        <f>'1'!BY34-'1'!BX34</f>
        <v>349793.26600000029</v>
      </c>
      <c r="DQ28" s="166">
        <f>'1'!BZ34-'1'!BY34</f>
        <v>320964.42699999968</v>
      </c>
      <c r="DR28" s="166">
        <v>384082.641</v>
      </c>
      <c r="DS28" s="166">
        <f>'1'!CC34-'1'!CB34</f>
        <v>354883.67</v>
      </c>
      <c r="DT28" s="166">
        <f>'1'!CD34-'1'!CC34</f>
        <v>327126.696</v>
      </c>
      <c r="DU28" s="166">
        <f>'1'!CE34-'1'!CD34</f>
        <v>361926.3330000001</v>
      </c>
      <c r="DV28" s="166">
        <f>'1'!CF34-'1'!CE34</f>
        <v>349325.47699999996</v>
      </c>
      <c r="DW28" s="166">
        <f>'1'!CG34-'1'!CF34</f>
        <v>346076.69299999974</v>
      </c>
      <c r="DX28" s="166">
        <f>'1'!CH34-'1'!CG34</f>
        <v>352485.14000000013</v>
      </c>
      <c r="DY28" s="166">
        <f>'1'!CI34-'1'!CH34</f>
        <v>350614.46200000029</v>
      </c>
      <c r="DZ28" s="166">
        <f>'1'!CJ34-'1'!CI34</f>
        <v>356707.81599999964</v>
      </c>
      <c r="EA28" s="166">
        <f>'1'!CK34-'1'!CJ34</f>
        <v>376134.74200000009</v>
      </c>
      <c r="EB28" s="166">
        <f>'1'!CL34-'1'!CK34</f>
        <v>374059.55800000019</v>
      </c>
      <c r="EC28" s="166">
        <f>'1'!CM34-'1'!CL34</f>
        <v>378466.3339999998</v>
      </c>
      <c r="ED28" s="166">
        <f>'1'!CO34</f>
        <v>385059.31140000006</v>
      </c>
      <c r="EE28" s="166">
        <f>'1'!CP34-'1'!CO34</f>
        <v>382316.42268999986</v>
      </c>
      <c r="EF28" s="166">
        <f>'1'!CQ34-'1'!CP34</f>
        <v>381995.31789000006</v>
      </c>
      <c r="EG28" s="166">
        <f>'1'!CR34-'1'!CQ34</f>
        <v>445218.19495999976</v>
      </c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</row>
    <row r="29" spans="1:170" s="76" customFormat="1" ht="15" customHeight="1">
      <c r="A29" s="30" t="s">
        <v>18</v>
      </c>
      <c r="B29" s="31">
        <f t="shared" ref="B29:M29" si="39">B30-B31</f>
        <v>2615.4640000000036</v>
      </c>
      <c r="C29" s="31">
        <f t="shared" si="39"/>
        <v>-216.44500000000335</v>
      </c>
      <c r="D29" s="31">
        <f t="shared" si="39"/>
        <v>2480.4989999999998</v>
      </c>
      <c r="E29" s="31">
        <f t="shared" si="39"/>
        <v>-4513.2439999999988</v>
      </c>
      <c r="F29" s="31">
        <f t="shared" si="39"/>
        <v>-4899.4119999999966</v>
      </c>
      <c r="G29" s="31">
        <f t="shared" si="39"/>
        <v>-4327.0399999999972</v>
      </c>
      <c r="H29" s="31">
        <f t="shared" si="39"/>
        <v>-4736.937000000009</v>
      </c>
      <c r="I29" s="31">
        <f t="shared" si="39"/>
        <v>5643.1419999999962</v>
      </c>
      <c r="J29" s="31">
        <f t="shared" si="39"/>
        <v>34.335000000002765</v>
      </c>
      <c r="K29" s="31">
        <f t="shared" si="39"/>
        <v>-3745.2669999999998</v>
      </c>
      <c r="L29" s="31">
        <f t="shared" si="39"/>
        <v>-2660.5240000000013</v>
      </c>
      <c r="M29" s="31">
        <f t="shared" si="39"/>
        <v>6103.2699999999968</v>
      </c>
      <c r="N29" s="31">
        <f t="shared" ref="N29:W29" si="40">N30-N31</f>
        <v>-1298.3070000000043</v>
      </c>
      <c r="O29" s="31">
        <f t="shared" si="40"/>
        <v>-1783.0820000000022</v>
      </c>
      <c r="P29" s="31">
        <f t="shared" si="40"/>
        <v>-2881.0889999999999</v>
      </c>
      <c r="Q29" s="31">
        <f t="shared" si="40"/>
        <v>-1097.4199999999983</v>
      </c>
      <c r="R29" s="31">
        <f t="shared" si="40"/>
        <v>-4483.3460000000086</v>
      </c>
      <c r="S29" s="31">
        <f t="shared" si="40"/>
        <v>1742.7570000000051</v>
      </c>
      <c r="T29" s="31">
        <f t="shared" si="40"/>
        <v>-2324.6799999999967</v>
      </c>
      <c r="U29" s="31">
        <f t="shared" si="40"/>
        <v>-515.32000000000335</v>
      </c>
      <c r="V29" s="31">
        <f t="shared" si="40"/>
        <v>-1591.6930000000029</v>
      </c>
      <c r="W29" s="31">
        <f t="shared" si="40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614.94300000000658</v>
      </c>
      <c r="CJ29" s="6">
        <f>'1'!AQ35-'1'!AP35</f>
        <v>8698.441000000028</v>
      </c>
      <c r="CK29" s="6">
        <f>'1'!AR35-'1'!AQ35</f>
        <v>15576.955999999976</v>
      </c>
      <c r="CL29" s="6">
        <f>'1'!AS35-'1'!AR35</f>
        <v>-15138.273999999976</v>
      </c>
      <c r="CM29" s="6">
        <f>'1'!AT35-'1'!AS35</f>
        <v>-17244.092000000004</v>
      </c>
      <c r="CN29" s="6">
        <f>'1'!AU35-'1'!AT35</f>
        <v>14974.361999999994</v>
      </c>
      <c r="CO29" s="6">
        <f>'1'!AV35-'1'!AU35</f>
        <v>3935.4389999999548</v>
      </c>
      <c r="CP29" s="6">
        <f>'1'!AW35-'1'!AV35</f>
        <v>-8107.1280000000261</v>
      </c>
      <c r="CQ29" s="6">
        <f>'1'!AX35-'1'!AW35</f>
        <v>18388.451000000059</v>
      </c>
      <c r="CR29" s="6">
        <f>'1'!AY35-'1'!AX35</f>
        <v>-14559.456000000006</v>
      </c>
      <c r="CS29" s="6">
        <f>'1'!AZ35-'1'!AY35</f>
        <v>-16956.945999999996</v>
      </c>
      <c r="CT29" s="6">
        <v>-2822.1859999999979</v>
      </c>
      <c r="CU29" s="6">
        <f>'1'!BC35-'1'!BB35</f>
        <v>25462.905999999988</v>
      </c>
      <c r="CV29" s="6">
        <f>'1'!BD35-'1'!BC35</f>
        <v>-8955.830999999991</v>
      </c>
      <c r="CW29" s="6">
        <f>'1'!BE35-'1'!BD35</f>
        <v>29791.134999999995</v>
      </c>
      <c r="CX29" s="6">
        <f>'1'!BF35-'1'!BE35</f>
        <v>-15943.913999999961</v>
      </c>
      <c r="CY29" s="6">
        <f>'1'!BG35-'1'!BF35</f>
        <v>-20290.410000000033</v>
      </c>
      <c r="CZ29" s="6">
        <f>'1'!BH35-'1'!BG35</f>
        <v>12763.79800000001</v>
      </c>
      <c r="DA29" s="6">
        <f>'1'!BI35-'1'!BH35</f>
        <v>4033.1699999999837</v>
      </c>
      <c r="DB29" s="6">
        <f>'1'!BJ35-'1'!BI35</f>
        <v>-3881.9440000000177</v>
      </c>
      <c r="DC29" s="6">
        <f>'1'!BK35-'1'!BJ35</f>
        <v>26740.901000000013</v>
      </c>
      <c r="DD29" s="6">
        <f>'1'!BL35-'1'!BK35</f>
        <v>-18801.536000000022</v>
      </c>
      <c r="DE29" s="6">
        <f>'1'!BM35-'1'!BL35</f>
        <v>-23096.288</v>
      </c>
      <c r="DF29" s="6">
        <v>-5846.724000000002</v>
      </c>
      <c r="DG29" s="85">
        <f>'1'!BP35-'1'!BO35</f>
        <v>13892.149999999998</v>
      </c>
      <c r="DH29" s="85">
        <f>'1'!BQ35-'1'!BP35</f>
        <v>-10190.078999999983</v>
      </c>
      <c r="DI29" s="85">
        <f>'1'!BR35-'1'!BQ35</f>
        <v>22756.446999999986</v>
      </c>
      <c r="DJ29" s="85">
        <f>'1'!BS35-'1'!BR35</f>
        <v>-13658.241999999998</v>
      </c>
      <c r="DK29" s="85">
        <f>'1'!BT35-'1'!BS35</f>
        <v>-15599.094000000041</v>
      </c>
      <c r="DL29" s="85">
        <f>'1'!BU35-'1'!BT35</f>
        <v>29700.113000000012</v>
      </c>
      <c r="DM29" s="85">
        <f>'1'!BV35-'1'!BU35</f>
        <v>10417.548999999999</v>
      </c>
      <c r="DN29" s="85">
        <f>'1'!BW35-'1'!BV35</f>
        <v>-7984.10699999996</v>
      </c>
      <c r="DO29" s="85">
        <f>'1'!BX35-'1'!BW35</f>
        <v>25544.707999999984</v>
      </c>
      <c r="DP29" s="85">
        <f>'1'!BY35-'1'!BX35</f>
        <v>-17373.22100000002</v>
      </c>
      <c r="DQ29" s="85">
        <f>'1'!BZ35-'1'!BY35</f>
        <v>-35843.579999999958</v>
      </c>
      <c r="DR29" s="85">
        <v>-5196.3659999999982</v>
      </c>
      <c r="DS29" s="85">
        <f>'1'!CC35-'1'!CB35</f>
        <v>-477.49700000000303</v>
      </c>
      <c r="DT29" s="85">
        <f>'1'!CD35-'1'!CC35</f>
        <v>-3054.8899999999994</v>
      </c>
      <c r="DU29" s="85">
        <f>'1'!CE35-'1'!CD35</f>
        <v>42386.13400000002</v>
      </c>
      <c r="DV29" s="85">
        <f>'1'!CF35-'1'!CE35</f>
        <v>-9283.5900000000256</v>
      </c>
      <c r="DW29" s="85">
        <f>'1'!CG35-'1'!CF35</f>
        <v>-5665.6260000000184</v>
      </c>
      <c r="DX29" s="85">
        <f>'1'!CH35-'1'!CG35</f>
        <v>24929.571000000054</v>
      </c>
      <c r="DY29" s="85">
        <f>'1'!CI35-'1'!CH35</f>
        <v>-1466.1579999999958</v>
      </c>
      <c r="DZ29" s="85">
        <f>'1'!CJ35-'1'!CI35</f>
        <v>-5393.445000000007</v>
      </c>
      <c r="EA29" s="85">
        <f>'1'!CK35-'1'!CJ35</f>
        <v>-852.13100000005215</v>
      </c>
      <c r="EB29" s="85">
        <f>'1'!CL35-'1'!CK35</f>
        <v>4232.8929999999818</v>
      </c>
      <c r="EC29" s="85">
        <f>'1'!CM35-'1'!CL35</f>
        <v>-4662.98199999996</v>
      </c>
      <c r="ED29" s="85">
        <f>'1'!CO35</f>
        <v>-1106.2669999999998</v>
      </c>
      <c r="EE29" s="85">
        <f>'1'!CP35-'1'!CO35</f>
        <v>-30306.798000000003</v>
      </c>
      <c r="EF29" s="85">
        <f>'1'!CQ35-'1'!CP35</f>
        <v>-29299.207999999999</v>
      </c>
      <c r="EG29" s="85">
        <f>'1'!CR35-'1'!CQ35</f>
        <v>-43294.510999999984</v>
      </c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</row>
    <row r="30" spans="1:170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34683.082000000009</v>
      </c>
      <c r="CJ30" s="9">
        <f>'1'!AQ36-'1'!AP36</f>
        <v>46623.905000000013</v>
      </c>
      <c r="CK30" s="9">
        <f>'1'!AR36-'1'!AQ36</f>
        <v>56995.337999999989</v>
      </c>
      <c r="CL30" s="9">
        <f>'1'!AS36-'1'!AR36</f>
        <v>24019.482000000018</v>
      </c>
      <c r="CM30" s="9">
        <f>'1'!AT36-'1'!AS36</f>
        <v>24076.871000000014</v>
      </c>
      <c r="CN30" s="9">
        <f>'1'!AU36-'1'!AT36</f>
        <v>61330.174999999988</v>
      </c>
      <c r="CO30" s="9">
        <f>'1'!AV36-'1'!AU36</f>
        <v>41780.620999999985</v>
      </c>
      <c r="CP30" s="9">
        <f>'1'!AW36-'1'!AV36</f>
        <v>26774.512999999977</v>
      </c>
      <c r="CQ30" s="9">
        <f>'1'!AX36-'1'!AW36</f>
        <v>60603.882000000041</v>
      </c>
      <c r="CR30" s="9">
        <f>'1'!AY36-'1'!AX36</f>
        <v>28851.283999999985</v>
      </c>
      <c r="CS30" s="9">
        <f>'1'!AZ36-'1'!AY36</f>
        <v>50559.128000000026</v>
      </c>
      <c r="CT30" s="9">
        <v>21086.86</v>
      </c>
      <c r="CU30" s="9">
        <f>'1'!BC36-'1'!BB36</f>
        <v>63112.107999999986</v>
      </c>
      <c r="CV30" s="9">
        <f>'1'!BD36-'1'!BC36</f>
        <v>40917.719000000012</v>
      </c>
      <c r="CW30" s="9">
        <f>'1'!BE36-'1'!BD36</f>
        <v>71088.774999999994</v>
      </c>
      <c r="CX30" s="9">
        <f>'1'!BF36-'1'!BE36</f>
        <v>27077.737000000023</v>
      </c>
      <c r="CY30" s="9">
        <f>'1'!BG36-'1'!BF36</f>
        <v>23027.453999999998</v>
      </c>
      <c r="CZ30" s="9">
        <f>'1'!BH36-'1'!BG36</f>
        <v>60558.94299999997</v>
      </c>
      <c r="DA30" s="9">
        <f>'1'!BI36-'1'!BH36</f>
        <v>42965.101000000024</v>
      </c>
      <c r="DB30" s="9">
        <f>'1'!BJ36-'1'!BI36</f>
        <v>36435.94</v>
      </c>
      <c r="DC30" s="9">
        <f>'1'!BK36-'1'!BJ36</f>
        <v>76312.592999999993</v>
      </c>
      <c r="DD30" s="9">
        <f>'1'!BL36-'1'!BK36</f>
        <v>28670.816999999981</v>
      </c>
      <c r="DE30" s="9">
        <f>'1'!BM36-'1'!BL36</f>
        <v>51513.439000000013</v>
      </c>
      <c r="DF30" s="9">
        <v>24612.749</v>
      </c>
      <c r="DG30" s="166">
        <f>'1'!BP36-'1'!BO36</f>
        <v>58599.35</v>
      </c>
      <c r="DH30" s="166">
        <f>'1'!BQ36-'1'!BP36</f>
        <v>40133.988000000012</v>
      </c>
      <c r="DI30" s="166">
        <f>'1'!BR36-'1'!BQ36</f>
        <v>71435.25</v>
      </c>
      <c r="DJ30" s="166">
        <f>'1'!BS36-'1'!BR36</f>
        <v>33156.973999999987</v>
      </c>
      <c r="DK30" s="166">
        <f>'1'!BT36-'1'!BS36</f>
        <v>36388.530999999988</v>
      </c>
      <c r="DL30" s="166">
        <f>'1'!BU36-'1'!BT36</f>
        <v>80289.852000000014</v>
      </c>
      <c r="DM30" s="166">
        <f>'1'!BV36-'1'!BU36</f>
        <v>54077.152999999991</v>
      </c>
      <c r="DN30" s="166">
        <f>'1'!BW36-'1'!BV36</f>
        <v>34079.108000000007</v>
      </c>
      <c r="DO30" s="166">
        <f>'1'!BX36-'1'!BW36</f>
        <v>77102.934999999998</v>
      </c>
      <c r="DP30" s="166">
        <f>'1'!BY36-'1'!BX36</f>
        <v>39663.768999999971</v>
      </c>
      <c r="DQ30" s="166">
        <f>'1'!BZ36-'1'!BY36</f>
        <v>46000.189000000013</v>
      </c>
      <c r="DR30" s="166">
        <v>27707.257000000001</v>
      </c>
      <c r="DS30" s="166">
        <f>'1'!CC36-'1'!CB36</f>
        <v>51597.072</v>
      </c>
      <c r="DT30" s="166">
        <f>'1'!CD36-'1'!CC36</f>
        <v>45255.625</v>
      </c>
      <c r="DU30" s="166">
        <f>'1'!CE36-'1'!CD36</f>
        <v>90957.578000000009</v>
      </c>
      <c r="DV30" s="166">
        <f>'1'!CF36-'1'!CE36</f>
        <v>36929.706999999995</v>
      </c>
      <c r="DW30" s="166">
        <f>'1'!CG36-'1'!CF36</f>
        <v>43929.880999999994</v>
      </c>
      <c r="DX30" s="166">
        <f>'1'!CH36-'1'!CG36</f>
        <v>80444.209000000032</v>
      </c>
      <c r="DY30" s="166">
        <f>'1'!CI36-'1'!CH36</f>
        <v>41952.718999999983</v>
      </c>
      <c r="DZ30" s="166">
        <f>'1'!CJ36-'1'!CI36</f>
        <v>35351.957999999984</v>
      </c>
      <c r="EA30" s="166">
        <f>'1'!CK36-'1'!CJ36</f>
        <v>60427.034999999974</v>
      </c>
      <c r="EB30" s="166">
        <f>'1'!CL36-'1'!CK36</f>
        <v>61527.266999999993</v>
      </c>
      <c r="EC30" s="166">
        <f>'1'!CM36-'1'!CL36</f>
        <v>74435.292000000016</v>
      </c>
      <c r="ED30" s="166">
        <f>'1'!CO36</f>
        <v>30801.06</v>
      </c>
      <c r="EE30" s="166">
        <f>'1'!CP36-'1'!CO36</f>
        <v>16950.414000000001</v>
      </c>
      <c r="EF30" s="166">
        <f>'1'!CQ36-'1'!CP36</f>
        <v>22823.606</v>
      </c>
      <c r="EG30" s="166">
        <f>'1'!CR36-'1'!CQ36</f>
        <v>16093.781000000003</v>
      </c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</row>
    <row r="31" spans="1:170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34068.139000000003</v>
      </c>
      <c r="CJ31" s="9">
        <f>'1'!AQ37-'1'!AP37</f>
        <v>37925.463999999985</v>
      </c>
      <c r="CK31" s="9">
        <f>'1'!AR37-'1'!AQ37</f>
        <v>41418.382000000012</v>
      </c>
      <c r="CL31" s="9">
        <f>'1'!AS37-'1'!AR37</f>
        <v>39157.755999999994</v>
      </c>
      <c r="CM31" s="9">
        <f>'1'!AT37-'1'!AS37</f>
        <v>41320.963000000018</v>
      </c>
      <c r="CN31" s="9">
        <f>'1'!AU37-'1'!AT37</f>
        <v>46355.812999999995</v>
      </c>
      <c r="CO31" s="9">
        <f>'1'!AV37-'1'!AU37</f>
        <v>37845.18200000003</v>
      </c>
      <c r="CP31" s="9">
        <f>'1'!AW37-'1'!AV37</f>
        <v>34881.641000000003</v>
      </c>
      <c r="CQ31" s="9">
        <f>'1'!AX37-'1'!AW37</f>
        <v>42215.430999999982</v>
      </c>
      <c r="CR31" s="9">
        <f>'1'!AY37-'1'!AX37</f>
        <v>43410.739999999991</v>
      </c>
      <c r="CS31" s="9">
        <f>'1'!AZ37-'1'!AY37</f>
        <v>67516.074000000022</v>
      </c>
      <c r="CT31" s="9">
        <v>23909.045999999998</v>
      </c>
      <c r="CU31" s="9">
        <f>'1'!BC37-'1'!BB37</f>
        <v>37649.201999999997</v>
      </c>
      <c r="CV31" s="9">
        <f>'1'!BD37-'1'!BC37</f>
        <v>49873.55</v>
      </c>
      <c r="CW31" s="9">
        <f>'1'!BE37-'1'!BD37</f>
        <v>41297.64</v>
      </c>
      <c r="CX31" s="9">
        <f>'1'!BF37-'1'!BE37</f>
        <v>43021.650999999983</v>
      </c>
      <c r="CY31" s="9">
        <f>'1'!BG37-'1'!BF37</f>
        <v>43317.864000000031</v>
      </c>
      <c r="CZ31" s="9">
        <f>'1'!BH37-'1'!BG37</f>
        <v>47795.14499999996</v>
      </c>
      <c r="DA31" s="9">
        <f>'1'!BI37-'1'!BH37</f>
        <v>38931.931000000041</v>
      </c>
      <c r="DB31" s="9">
        <f>'1'!BJ37-'1'!BI37</f>
        <v>40317.88400000002</v>
      </c>
      <c r="DC31" s="9">
        <f>'1'!BK37-'1'!BJ37</f>
        <v>49571.691999999981</v>
      </c>
      <c r="DD31" s="9">
        <f>'1'!BL37-'1'!BK37</f>
        <v>47472.353000000003</v>
      </c>
      <c r="DE31" s="9">
        <f>'1'!BM37-'1'!BL37</f>
        <v>74609.727000000014</v>
      </c>
      <c r="DF31" s="9">
        <v>30459.473000000002</v>
      </c>
      <c r="DG31" s="166">
        <f>'1'!BP37-'1'!BO37</f>
        <v>44707.199999999997</v>
      </c>
      <c r="DH31" s="166">
        <f>'1'!BQ37-'1'!BP37</f>
        <v>50324.066999999995</v>
      </c>
      <c r="DI31" s="166">
        <f>'1'!BR37-'1'!BQ37</f>
        <v>48678.803000000014</v>
      </c>
      <c r="DJ31" s="166">
        <f>'1'!BS37-'1'!BR37</f>
        <v>46815.215999999986</v>
      </c>
      <c r="DK31" s="166">
        <f>'1'!BT37-'1'!BS37</f>
        <v>51987.625000000029</v>
      </c>
      <c r="DL31" s="166">
        <f>'1'!BU37-'1'!BT37</f>
        <v>50589.739000000001</v>
      </c>
      <c r="DM31" s="166">
        <f>'1'!BV37-'1'!BU37</f>
        <v>43659.603999999992</v>
      </c>
      <c r="DN31" s="166">
        <f>'1'!BW37-'1'!BV37</f>
        <v>42063.214999999967</v>
      </c>
      <c r="DO31" s="166">
        <f>'1'!BX37-'1'!BW37</f>
        <v>51558.227000000014</v>
      </c>
      <c r="DP31" s="166">
        <f>'1'!BY37-'1'!BX37</f>
        <v>57036.989999999991</v>
      </c>
      <c r="DQ31" s="166">
        <f>'1'!BZ37-'1'!BY37</f>
        <v>81843.768999999971</v>
      </c>
      <c r="DR31" s="166">
        <v>32903.623</v>
      </c>
      <c r="DS31" s="166">
        <f>'1'!CC37-'1'!CB37</f>
        <v>52074.569000000003</v>
      </c>
      <c r="DT31" s="166">
        <f>'1'!CD37-'1'!CC37</f>
        <v>48310.514999999999</v>
      </c>
      <c r="DU31" s="166">
        <f>'1'!CE37-'1'!CD37</f>
        <v>48571.443999999989</v>
      </c>
      <c r="DV31" s="166">
        <f>'1'!CF37-'1'!CE37</f>
        <v>46213.29700000002</v>
      </c>
      <c r="DW31" s="166">
        <f>'1'!CG37-'1'!CF37</f>
        <v>49595.507000000012</v>
      </c>
      <c r="DX31" s="166">
        <f>'1'!CH37-'1'!CG37</f>
        <v>55514.637999999977</v>
      </c>
      <c r="DY31" s="166">
        <f>'1'!CI37-'1'!CH37</f>
        <v>43418.876999999979</v>
      </c>
      <c r="DZ31" s="166">
        <f>'1'!CJ37-'1'!CI37</f>
        <v>40745.402999999991</v>
      </c>
      <c r="EA31" s="166">
        <f>'1'!CK37-'1'!CJ37</f>
        <v>61279.166000000027</v>
      </c>
      <c r="EB31" s="166">
        <f>'1'!CL37-'1'!CK37</f>
        <v>57294.374000000011</v>
      </c>
      <c r="EC31" s="166">
        <f>'1'!CM37-'1'!CL37</f>
        <v>79098.273999999976</v>
      </c>
      <c r="ED31" s="166">
        <f>'1'!CO37</f>
        <v>31907.327000000001</v>
      </c>
      <c r="EE31" s="166">
        <f>'1'!CP37-'1'!CO37</f>
        <v>47257.212</v>
      </c>
      <c r="EF31" s="166">
        <f>'1'!CQ37-'1'!CP37</f>
        <v>52122.813999999998</v>
      </c>
      <c r="EG31" s="166">
        <f>'1'!CR37-'1'!CQ37</f>
        <v>59388.291999999987</v>
      </c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</row>
    <row r="32" spans="1:170" s="76" customFormat="1" ht="15" customHeight="1">
      <c r="A32" s="30" t="s">
        <v>19</v>
      </c>
      <c r="B32" s="31">
        <f t="shared" ref="B32:M32" si="41">B33-B34</f>
        <v>27277.012999999977</v>
      </c>
      <c r="C32" s="31">
        <f t="shared" si="41"/>
        <v>14294.19299999997</v>
      </c>
      <c r="D32" s="31">
        <f t="shared" si="41"/>
        <v>36653.995999999985</v>
      </c>
      <c r="E32" s="31">
        <f t="shared" si="41"/>
        <v>-6041.8149999999732</v>
      </c>
      <c r="F32" s="31">
        <f t="shared" si="41"/>
        <v>4263.8099999999686</v>
      </c>
      <c r="G32" s="31">
        <f t="shared" si="41"/>
        <v>-20179.253000000026</v>
      </c>
      <c r="H32" s="31">
        <f t="shared" si="41"/>
        <v>-27187.801000000007</v>
      </c>
      <c r="I32" s="31">
        <f t="shared" si="41"/>
        <v>-2074.2349999999569</v>
      </c>
      <c r="J32" s="31">
        <f t="shared" si="41"/>
        <v>-11294.960999999981</v>
      </c>
      <c r="K32" s="31">
        <f t="shared" si="41"/>
        <v>-11093.287999999971</v>
      </c>
      <c r="L32" s="31">
        <f t="shared" si="41"/>
        <v>-14811.905999999988</v>
      </c>
      <c r="M32" s="31">
        <f t="shared" si="41"/>
        <v>-75763.269999999931</v>
      </c>
      <c r="N32" s="31">
        <f t="shared" ref="N32:W32" si="42">N33-N34</f>
        <v>18632.714000000007</v>
      </c>
      <c r="O32" s="31">
        <f t="shared" si="42"/>
        <v>17616.937000000034</v>
      </c>
      <c r="P32" s="31">
        <f t="shared" si="42"/>
        <v>29332.084999999992</v>
      </c>
      <c r="Q32" s="31">
        <f t="shared" si="42"/>
        <v>-6964.6560000000172</v>
      </c>
      <c r="R32" s="31">
        <f t="shared" si="42"/>
        <v>15270.517999999953</v>
      </c>
      <c r="S32" s="31">
        <f t="shared" si="42"/>
        <v>-18409.463000000018</v>
      </c>
      <c r="T32" s="31">
        <f t="shared" si="42"/>
        <v>-22974.180000000022</v>
      </c>
      <c r="U32" s="31">
        <f t="shared" si="42"/>
        <v>4525.0070000000123</v>
      </c>
      <c r="V32" s="31">
        <f t="shared" si="42"/>
        <v>-1528.0619999999763</v>
      </c>
      <c r="W32" s="31">
        <f t="shared" si="42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C32" s="85">
        <f>'1'!CM38-'1'!CL38</f>
        <v>-149399.72800000012</v>
      </c>
      <c r="ED32" s="85">
        <f>'1'!CO38</f>
        <v>69077.213999999978</v>
      </c>
      <c r="EE32" s="85">
        <f>'1'!CP38-'1'!CO38</f>
        <v>35616.016999999934</v>
      </c>
      <c r="EF32" s="85">
        <f>'1'!CQ38-'1'!CP38</f>
        <v>29556.671000000089</v>
      </c>
      <c r="EG32" s="85">
        <f>'1'!CR38-'1'!CQ38</f>
        <v>-15672.304000000004</v>
      </c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</row>
    <row r="33" spans="1:170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6">
        <f>'1'!BP39-'1'!BO39</f>
        <v>292294.04399999999</v>
      </c>
      <c r="DH33" s="166">
        <f>'1'!BQ39-'1'!BP39</f>
        <v>225671.94900000002</v>
      </c>
      <c r="DI33" s="166">
        <f>'1'!BR39-'1'!BQ39</f>
        <v>262816.14899999998</v>
      </c>
      <c r="DJ33" s="166">
        <f>'1'!BS39-'1'!BR39</f>
        <v>295042.68599999999</v>
      </c>
      <c r="DK33" s="166">
        <f>'1'!BT39-'1'!BS39</f>
        <v>376093.33000000007</v>
      </c>
      <c r="DL33" s="166">
        <f>'1'!BU39-'1'!BT39</f>
        <v>301143.92699999991</v>
      </c>
      <c r="DM33" s="166">
        <f>'1'!BV39-'1'!BU39</f>
        <v>264350.38299999991</v>
      </c>
      <c r="DN33" s="166">
        <f>'1'!BW39-'1'!BV39</f>
        <v>246209.85400000028</v>
      </c>
      <c r="DO33" s="166">
        <f>'1'!BX39-'1'!BW39</f>
        <v>315285.34100000001</v>
      </c>
      <c r="DP33" s="166">
        <f>'1'!BY39-'1'!BX39</f>
        <v>300948.20599999977</v>
      </c>
      <c r="DQ33" s="166">
        <f>'1'!BZ39-'1'!BY39</f>
        <v>294625.01500000013</v>
      </c>
      <c r="DR33" s="166">
        <v>330116.00300000003</v>
      </c>
      <c r="DS33" s="166">
        <f>'1'!CC39-'1'!CB39</f>
        <v>323221.28700000001</v>
      </c>
      <c r="DT33" s="166">
        <f>'1'!CD39-'1'!CC39</f>
        <v>219856.022</v>
      </c>
      <c r="DU33" s="166">
        <f>'1'!CE39-'1'!CD39</f>
        <v>320943.46199999994</v>
      </c>
      <c r="DV33" s="166">
        <f>'1'!CF39-'1'!CE39</f>
        <v>302319.49399999995</v>
      </c>
      <c r="DW33" s="166">
        <f>'1'!CG39-'1'!CF39</f>
        <v>389767.87000000011</v>
      </c>
      <c r="DX33" s="166">
        <f>'1'!CH39-'1'!CG39</f>
        <v>289656.17000000016</v>
      </c>
      <c r="DY33" s="166">
        <f>'1'!CI39-'1'!CH39</f>
        <v>296848.35499999998</v>
      </c>
      <c r="DZ33" s="166">
        <f>'1'!CJ39-'1'!CI39</f>
        <v>280160.77499999991</v>
      </c>
      <c r="EA33" s="166">
        <f>'1'!CK39-'1'!CJ39</f>
        <v>345163.73</v>
      </c>
      <c r="EB33" s="166">
        <f>'1'!CL39-'1'!CK39</f>
        <v>329799.11700000009</v>
      </c>
      <c r="EC33" s="166">
        <f>'1'!CM39-'1'!CL39</f>
        <v>323092.44799999986</v>
      </c>
      <c r="ED33" s="166">
        <f>'1'!CO39</f>
        <v>334083.38199999998</v>
      </c>
      <c r="EE33" s="166">
        <f>'1'!CP39-'1'!CO39</f>
        <v>321429.95799999998</v>
      </c>
      <c r="EF33" s="166">
        <f>'1'!CQ39-'1'!CP39</f>
        <v>330721.73600000003</v>
      </c>
      <c r="EG33" s="166">
        <f>'1'!CR39-'1'!CQ39</f>
        <v>337077.96400000004</v>
      </c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</row>
    <row r="34" spans="1:170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6">
        <f>'1'!BP40-'1'!BO40</f>
        <v>257310.25</v>
      </c>
      <c r="DH34" s="166">
        <f>'1'!BQ40-'1'!BP40</f>
        <v>281685.71700000006</v>
      </c>
      <c r="DI34" s="166">
        <f>'1'!BR40-'1'!BQ40</f>
        <v>282101.21299999999</v>
      </c>
      <c r="DJ34" s="166">
        <f>'1'!BS40-'1'!BR40</f>
        <v>274959.68000000005</v>
      </c>
      <c r="DK34" s="166">
        <f>'1'!BT40-'1'!BS40</f>
        <v>368738.50199999986</v>
      </c>
      <c r="DL34" s="166">
        <f>'1'!BU40-'1'!BT40</f>
        <v>285193.85100000002</v>
      </c>
      <c r="DM34" s="166">
        <f>'1'!BV40-'1'!BU40</f>
        <v>277676.46500000008</v>
      </c>
      <c r="DN34" s="166">
        <f>'1'!BW40-'1'!BV40</f>
        <v>255025.41500000004</v>
      </c>
      <c r="DO34" s="166">
        <f>'1'!BX40-'1'!BW40</f>
        <v>315119.23900000006</v>
      </c>
      <c r="DP34" s="166">
        <f>'1'!BY40-'1'!BX40</f>
        <v>324385.04499999993</v>
      </c>
      <c r="DQ34" s="166">
        <f>'1'!BZ40-'1'!BY40</f>
        <v>492764.7209999999</v>
      </c>
      <c r="DR34" s="166">
        <v>243159.27299999999</v>
      </c>
      <c r="DS34" s="166">
        <f>'1'!CC40-'1'!CB40</f>
        <v>282000.26000000007</v>
      </c>
      <c r="DT34" s="166">
        <f>'1'!CD40-'1'!CC40</f>
        <v>280186.84999999998</v>
      </c>
      <c r="DU34" s="166">
        <f>'1'!CE40-'1'!CD40</f>
        <v>309610.59600000002</v>
      </c>
      <c r="DV34" s="166">
        <f>'1'!CF40-'1'!CE40</f>
        <v>304271.2209999999</v>
      </c>
      <c r="DW34" s="166">
        <f>'1'!CG40-'1'!CF40</f>
        <v>371345.66500000004</v>
      </c>
      <c r="DX34" s="166">
        <f>'1'!CH40-'1'!CG40</f>
        <v>327048.54500000016</v>
      </c>
      <c r="DY34" s="166">
        <f>'1'!CI40-'1'!CH40</f>
        <v>270215.54099999974</v>
      </c>
      <c r="DZ34" s="166">
        <f>'1'!CJ40-'1'!CI40</f>
        <v>255439.60900000017</v>
      </c>
      <c r="EA34" s="166">
        <f>'1'!CK40-'1'!CJ40</f>
        <v>338892.42100000009</v>
      </c>
      <c r="EB34" s="166">
        <f>'1'!CL40-'1'!CK40</f>
        <v>344569.24099999992</v>
      </c>
      <c r="EC34" s="166">
        <f>'1'!CM40-'1'!CL40</f>
        <v>472492.17599999998</v>
      </c>
      <c r="ED34" s="166">
        <f>'1'!CO40</f>
        <v>265006.16800000001</v>
      </c>
      <c r="EE34" s="166">
        <f>'1'!CP40-'1'!CO40</f>
        <v>285813.94100000005</v>
      </c>
      <c r="EF34" s="166">
        <f>'1'!CQ40-'1'!CP40</f>
        <v>301165.06499999994</v>
      </c>
      <c r="EG34" s="166">
        <f>'1'!CR40-'1'!CQ40</f>
        <v>352750.26800000004</v>
      </c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</row>
    <row r="35" spans="1:170" s="60" customFormat="1" ht="15" customHeight="1">
      <c r="A35" s="94" t="s">
        <v>20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</row>
    <row r="36" spans="1:170" s="60" customFormat="1" ht="15" customHeight="1">
      <c r="A36" s="319" t="s">
        <v>250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</row>
    <row r="37" spans="1:170" ht="15" customHeight="1">
      <c r="A37" s="319" t="s">
        <v>251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  <c r="Z37" s="48"/>
      <c r="AA37" s="48"/>
      <c r="AB37" s="48"/>
      <c r="AC37" s="48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1.5546875" style="111" hidden="1" customWidth="1"/>
    <col min="19" max="19" width="10.5546875" style="111" hidden="1" customWidth="1"/>
    <col min="20" max="21" width="10.44140625" style="111" hidden="1" customWidth="1"/>
    <col min="22" max="22" width="13.44140625" style="111" hidden="1" customWidth="1"/>
    <col min="23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339" t="s">
        <v>89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2023</v>
      </c>
      <c r="C5" s="158">
        <v>2024</v>
      </c>
      <c r="D5" s="158">
        <v>2025</v>
      </c>
      <c r="E5" s="158">
        <v>2023</v>
      </c>
      <c r="F5" s="158">
        <v>2024</v>
      </c>
      <c r="G5" s="158">
        <v>2025</v>
      </c>
      <c r="H5" s="158">
        <v>2023</v>
      </c>
      <c r="I5" s="158">
        <v>2024</v>
      </c>
      <c r="J5" s="158">
        <v>2025</v>
      </c>
    </row>
    <row r="6" spans="1:13">
      <c r="A6" s="146" t="s">
        <v>203</v>
      </c>
      <c r="B6" s="150">
        <f ca="1">IF(INDIRECT(ADDRESS(ROW('3'!BU$6),COLUMN('3'!BU$6)+ROW(A1)+36,1,1,"3"))="","",INDIRECT(ADDRESS(ROW('3'!BU$6),COLUMN('3'!BU$6)+ROW(A1)+36,1,1,"3")))</f>
        <v>1307495.6850000001</v>
      </c>
      <c r="C6" s="150">
        <f ca="1">IF(INDIRECT(ADDRESS(ROW('3'!BU$6),COLUMN('3'!BU$6)+ROW(A1)+48,1,1,"3"))="","",INDIRECT(ADDRESS(ROW('3'!BU$6),COLUMN('3'!BU$6)+ROW(A1)+48,1,1,"3")))</f>
        <v>1557359.8019999999</v>
      </c>
      <c r="D6" s="150">
        <f ca="1">IF(INDIRECT(ADDRESS(ROW('3'!BU$6),COLUMN('3'!BU$6)+ROW(A1)+60,1,1,"3"))="","",INDIRECT(ADDRESS(ROW('3'!BU$6),COLUMN('3'!BU$6)+ROW(A1)+60,1,1,"3")))</f>
        <v>1450465.2409999999</v>
      </c>
      <c r="E6" s="150">
        <f ca="1">IF(INDIRECT(ADDRESS(ROW('3'!BU$12),COLUMN('3'!BU$12)+ROW(A1)+36,1,1,"3"))="","",INDIRECT(ADDRESS(ROW('3'!BU$12),COLUMN('3'!BU$12)+ROW(A1)+36,1,1,"3")))</f>
        <v>1084456.317</v>
      </c>
      <c r="F6" s="150">
        <f ca="1">IF(INDIRECT(ADDRESS(ROW('3'!BU$12),COLUMN('3'!BU$12)+ROW(A1)+48,1,1,"3"))="","",INDIRECT(ADDRESS(ROW('3'!BU$12),COLUMN('3'!BU$12)+ROW(A1)+48,1,1,"3")))</f>
        <v>1303627.6510000001</v>
      </c>
      <c r="G6" s="150">
        <f ca="1">IF(INDIRECT(ADDRESS(ROW('3'!BU$12),COLUMN('3'!BU$12)+ROW(A1)+60,1,1,"3"))="","",INDIRECT(ADDRESS(ROW('3'!BU$12),COLUMN('3'!BU$12)+ROW(A1)+60,1,1,"3")))</f>
        <v>1413198.9710000001</v>
      </c>
      <c r="H6" s="150">
        <f ca="1">IFERROR(B6-E6,"")</f>
        <v>223039.36800000002</v>
      </c>
      <c r="I6" s="150">
        <f ca="1">IFERROR(C6-F6,"")</f>
        <v>253732.15099999984</v>
      </c>
      <c r="J6" s="150">
        <f ca="1">IFERROR(D6-G6,"")</f>
        <v>37266.269999999786</v>
      </c>
      <c r="L6" s="112"/>
      <c r="M6" s="112"/>
    </row>
    <row r="7" spans="1:13">
      <c r="A7" s="146" t="s">
        <v>204</v>
      </c>
      <c r="B7" s="150">
        <f ca="1">IF(INDIRECT(ADDRESS(ROW('3'!BU$6),COLUMN('3'!BU$6)+ROW(A2)+36,1,1,"3"))="","",INDIRECT(ADDRESS(ROW('3'!BU$6),COLUMN('3'!BU$6)+ROW(A2)+36,1,1,"3")))</f>
        <v>1335076.73</v>
      </c>
      <c r="C7" s="150">
        <f ca="1">IF(INDIRECT(ADDRESS(ROW('3'!BU$6),COLUMN('3'!BU$6)+ROW(A2)+48,1,1,"3"))="","",INDIRECT(ADDRESS(ROW('3'!BU$6),COLUMN('3'!BU$6)+ROW(A2)+48,1,1,"3")))</f>
        <v>1355056.4539999999</v>
      </c>
      <c r="D7" s="150">
        <f ca="1">IF(INDIRECT(ADDRESS(ROW('3'!BU$6),COLUMN('3'!BU$6)+ROW(A2)+60,1,1,"3"))="","",INDIRECT(ADDRESS(ROW('3'!BU$6),COLUMN('3'!BU$6)+ROW(A2)+60,1,1,"3")))</f>
        <v>1441982.9519999996</v>
      </c>
      <c r="E7" s="150">
        <f ca="1">IF(INDIRECT(ADDRESS(ROW('3'!BU$12),COLUMN('3'!BU$12)+ROW(A2)+36,1,1,"3"))="","",INDIRECT(ADDRESS(ROW('3'!BU$12),COLUMN('3'!BU$12)+ROW(A2)+36,1,1,"3")))</f>
        <v>1410804.2549999997</v>
      </c>
      <c r="F7" s="150">
        <f ca="1">IF(INDIRECT(ADDRESS(ROW('3'!BU$12),COLUMN('3'!BU$12)+ROW(A2)+48,1,1,"3"))="","",INDIRECT(ADDRESS(ROW('3'!BU$12),COLUMN('3'!BU$12)+ROW(A2)+48,1,1,"3")))</f>
        <v>1427917.6090000002</v>
      </c>
      <c r="G7" s="150">
        <f ca="1">IF(INDIRECT(ADDRESS(ROW('3'!BU$12),COLUMN('3'!BU$12)+ROW(A2)+60,1,1,"3"))="","",INDIRECT(ADDRESS(ROW('3'!BU$12),COLUMN('3'!BU$12)+ROW(A2)+60,1,1,"3")))</f>
        <v>1547341.149</v>
      </c>
      <c r="H7" s="150">
        <f t="shared" ref="H7:H17" ca="1" si="0">IFERROR(B7-E7,"")</f>
        <v>-75727.524999999674</v>
      </c>
      <c r="I7" s="150">
        <f t="shared" ref="I7:I17" ca="1" si="1">IFERROR(C7-F7,"")</f>
        <v>-72861.155000000261</v>
      </c>
      <c r="J7" s="150">
        <f t="shared" ref="J7:J17" ca="1" si="2">IFERROR(D7-G7,"")</f>
        <v>-105358.19700000039</v>
      </c>
      <c r="L7" s="112"/>
      <c r="M7" s="112"/>
    </row>
    <row r="8" spans="1:13">
      <c r="A8" s="146" t="s">
        <v>205</v>
      </c>
      <c r="B8" s="150">
        <f ca="1">IF(INDIRECT(ADDRESS(ROW('3'!BU$6),COLUMN('3'!BU$6)+ROW(A3)+36,1,1,"3"))="","",INDIRECT(ADDRESS(ROW('3'!BU$6),COLUMN('3'!BU$6)+ROW(A3)+36,1,1,"3")))</f>
        <v>941933.14500000002</v>
      </c>
      <c r="C8" s="150">
        <f ca="1">IF(INDIRECT(ADDRESS(ROW('3'!BU$6),COLUMN('3'!BU$6)+ROW(A3)+48,1,1,"3"))="","",INDIRECT(ADDRESS(ROW('3'!BU$6),COLUMN('3'!BU$6)+ROW(A3)+48,1,1,"3")))</f>
        <v>1183497.7439999999</v>
      </c>
      <c r="D8" s="150">
        <f ca="1">IF(INDIRECT(ADDRESS(ROW('3'!BU$6),COLUMN('3'!BU$6)+ROW(A3)+60,1,1,"3"))="","",INDIRECT(ADDRESS(ROW('3'!BU$6),COLUMN('3'!BU$6)+ROW(A3)+60,1,1,"3")))</f>
        <v>1161206.1980000008</v>
      </c>
      <c r="E8" s="150">
        <f ca="1">IF(INDIRECT(ADDRESS(ROW('3'!BU$12),COLUMN('3'!BU$12)+ROW(A3)+36,1,1,"3"))="","",INDIRECT(ADDRESS(ROW('3'!BU$12),COLUMN('3'!BU$12)+ROW(A3)+36,1,1,"3")))</f>
        <v>1353313.6140000005</v>
      </c>
      <c r="F8" s="150">
        <f ca="1">IF(INDIRECT(ADDRESS(ROW('3'!BU$12),COLUMN('3'!BU$12)+ROW(A3)+48,1,1,"3"))="","",INDIRECT(ADDRESS(ROW('3'!BU$12),COLUMN('3'!BU$12)+ROW(A3)+48,1,1,"3")))</f>
        <v>1322792.966</v>
      </c>
      <c r="G8" s="150">
        <f ca="1">IF(INDIRECT(ADDRESS(ROW('3'!BU$12),COLUMN('3'!BU$12)+ROW(A3)+60,1,1,"3"))="","",INDIRECT(ADDRESS(ROW('3'!BU$12),COLUMN('3'!BU$12)+ROW(A3)+60,1,1,"3")))</f>
        <v>1614308.0899999999</v>
      </c>
      <c r="H8" s="150">
        <f t="shared" ca="1" si="0"/>
        <v>-411380.46900000051</v>
      </c>
      <c r="I8" s="150">
        <f t="shared" ca="1" si="1"/>
        <v>-139295.22200000007</v>
      </c>
      <c r="J8" s="150">
        <f t="shared" ca="1" si="2"/>
        <v>-453101.89199999906</v>
      </c>
      <c r="L8" s="112"/>
      <c r="M8" s="112"/>
    </row>
    <row r="9" spans="1:13">
      <c r="A9" s="146" t="s">
        <v>206</v>
      </c>
      <c r="B9" s="150">
        <f ca="1">IF(INDIRECT(ADDRESS(ROW('3'!BU$6),COLUMN('3'!BU$6)+ROW(A4)+36,1,1,"3"))="","",INDIRECT(ADDRESS(ROW('3'!BU$6),COLUMN('3'!BU$6)+ROW(A4)+36,1,1,"3")))</f>
        <v>1392983.4280000001</v>
      </c>
      <c r="C9" s="150">
        <f ca="1">IF(INDIRECT(ADDRESS(ROW('3'!BU$6),COLUMN('3'!BU$6)+ROW(A4)+48,1,1,"3"))="","",INDIRECT(ADDRESS(ROW('3'!BU$6),COLUMN('3'!BU$6)+ROW(A4)+48,1,1,"3")))</f>
        <v>1415647.6440000001</v>
      </c>
      <c r="D9" s="150">
        <f ca="1">IF(INDIRECT(ADDRESS(ROW('3'!BU$6),COLUMN('3'!BU$6)+ROW(A4)+60,1,1,"3"))="","",INDIRECT(ADDRESS(ROW('3'!BU$6),COLUMN('3'!BU$6)+ROW(A4)+60,1,1,"3")))</f>
        <v>1396940.9009999991</v>
      </c>
      <c r="E9" s="150">
        <f ca="1">IF(INDIRECT(ADDRESS(ROW('3'!BU$12),COLUMN('3'!BU$12)+ROW(A4)+36,1,1,"3"))="","",INDIRECT(ADDRESS(ROW('3'!BU$12),COLUMN('3'!BU$12)+ROW(A4)+36,1,1,"3")))</f>
        <v>1300627.878</v>
      </c>
      <c r="F9" s="150">
        <f ca="1">IF(INDIRECT(ADDRESS(ROW('3'!BU$12),COLUMN('3'!BU$12)+ROW(A4)+48,1,1,"3"))="","",INDIRECT(ADDRESS(ROW('3'!BU$12),COLUMN('3'!BU$12)+ROW(A4)+48,1,1,"3")))</f>
        <v>1553303.541999999</v>
      </c>
      <c r="G9" s="150">
        <f ca="1">IF(INDIRECT(ADDRESS(ROW('3'!BU$12),COLUMN('3'!BU$12)+ROW(A4)+60,1,1,"3"))="","",INDIRECT(ADDRESS(ROW('3'!BU$12),COLUMN('3'!BU$12)+ROW(A4)+60,1,1,"3")))</f>
        <v>1653208.0950000007</v>
      </c>
      <c r="H9" s="150">
        <f t="shared" ca="1" si="0"/>
        <v>92355.550000000047</v>
      </c>
      <c r="I9" s="150">
        <f t="shared" ca="1" si="1"/>
        <v>-137655.89799999888</v>
      </c>
      <c r="J9" s="150">
        <f t="shared" ca="1" si="2"/>
        <v>-256267.19400000153</v>
      </c>
      <c r="L9" s="112"/>
      <c r="M9" s="112"/>
    </row>
    <row r="10" spans="1:13">
      <c r="A10" s="146" t="s">
        <v>207</v>
      </c>
      <c r="B10" s="150">
        <f ca="1">IF(INDIRECT(ADDRESS(ROW('3'!BU$6),COLUMN('3'!BU$6)+ROW(A5)+36,1,1,"3"))="","",INDIRECT(ADDRESS(ROW('3'!BU$6),COLUMN('3'!BU$6)+ROW(A5)+36,1,1,"3")))</f>
        <v>1402498.183</v>
      </c>
      <c r="C10" s="150">
        <f ca="1">IF(INDIRECT(ADDRESS(ROW('3'!BU$6),COLUMN('3'!BU$6)+ROW(A5)+48,1,1,"3"))="","",INDIRECT(ADDRESS(ROW('3'!BU$6),COLUMN('3'!BU$6)+ROW(A5)+48,1,1,"3")))</f>
        <v>1711860.2449999999</v>
      </c>
      <c r="D10" s="150" t="str">
        <f ca="1">IF(INDIRECT(ADDRESS(ROW('3'!BU$6),COLUMN('3'!BU$6)+ROW(A5)+60,1,1,"3"))="","",INDIRECT(ADDRESS(ROW('3'!BU$6),COLUMN('3'!BU$6)+ROW(A5)+60,1,1,"3")))</f>
        <v/>
      </c>
      <c r="E10" s="150">
        <f ca="1">IF(INDIRECT(ADDRESS(ROW('3'!BU$12),COLUMN('3'!BU$12)+ROW(A5)+36,1,1,"3"))="","",INDIRECT(ADDRESS(ROW('3'!BU$12),COLUMN('3'!BU$12)+ROW(A5)+36,1,1,"3")))</f>
        <v>1285511.2979999995</v>
      </c>
      <c r="F10" s="150">
        <f ca="1">IF(INDIRECT(ADDRESS(ROW('3'!BU$12),COLUMN('3'!BU$12)+ROW(A5)+48,1,1,"3"))="","",INDIRECT(ADDRESS(ROW('3'!BU$12),COLUMN('3'!BU$12)+ROW(A5)+48,1,1,"3")))</f>
        <v>1362544.1009999998</v>
      </c>
      <c r="G10" s="150" t="str">
        <f ca="1">IF(INDIRECT(ADDRESS(ROW('3'!BU$12),COLUMN('3'!BU$12)+ROW(A5)+60,1,1,"3"))="","",INDIRECT(ADDRESS(ROW('3'!BU$12),COLUMN('3'!BU$12)+ROW(A5)+60,1,1,"3")))</f>
        <v/>
      </c>
      <c r="H10" s="150">
        <f t="shared" ca="1" si="0"/>
        <v>116986.88500000047</v>
      </c>
      <c r="I10" s="150">
        <f t="shared" ca="1" si="1"/>
        <v>349316.14400000009</v>
      </c>
      <c r="J10" s="150" t="str">
        <f t="shared" ca="1" si="2"/>
        <v/>
      </c>
      <c r="L10" s="112"/>
      <c r="M10" s="112"/>
    </row>
    <row r="11" spans="1:13">
      <c r="A11" s="146" t="s">
        <v>208</v>
      </c>
      <c r="B11" s="150">
        <f ca="1">IF(INDIRECT(ADDRESS(ROW('3'!BU$6),COLUMN('3'!BU$6)+ROW(A6)+36,1,1,"3"))="","",INDIRECT(ADDRESS(ROW('3'!BU$6),COLUMN('3'!BU$6)+ROW(A6)+36,1,1,"3")))</f>
        <v>1304045.598</v>
      </c>
      <c r="C11" s="150">
        <f ca="1">IF(INDIRECT(ADDRESS(ROW('3'!BU$6),COLUMN('3'!BU$6)+ROW(A6)+48,1,1,"3"))="","",INDIRECT(ADDRESS(ROW('3'!BU$6),COLUMN('3'!BU$6)+ROW(A6)+48,1,1,"3")))</f>
        <v>1789638.223</v>
      </c>
      <c r="D11" s="150" t="str">
        <f ca="1">IF(INDIRECT(ADDRESS(ROW('3'!BU$6),COLUMN('3'!BU$6)+ROW(A6)+60,1,1,"3"))="","",INDIRECT(ADDRESS(ROW('3'!BU$6),COLUMN('3'!BU$6)+ROW(A6)+60,1,1,"3")))</f>
        <v/>
      </c>
      <c r="E11" s="150">
        <f ca="1">IF(INDIRECT(ADDRESS(ROW('3'!BU$12),COLUMN('3'!BU$12)+ROW(A6)+36,1,1,"3"))="","",INDIRECT(ADDRESS(ROW('3'!BU$12),COLUMN('3'!BU$12)+ROW(A6)+36,1,1,"3")))</f>
        <v>1387062.6690000007</v>
      </c>
      <c r="F11" s="150">
        <f ca="1">IF(INDIRECT(ADDRESS(ROW('3'!BU$12),COLUMN('3'!BU$12)+ROW(A6)+48,1,1,"3"))="","",INDIRECT(ADDRESS(ROW('3'!BU$12),COLUMN('3'!BU$12)+ROW(A6)+48,1,1,"3")))</f>
        <v>1438872.2280000001</v>
      </c>
      <c r="G11" s="150" t="str">
        <f ca="1">IF(INDIRECT(ADDRESS(ROW('3'!BU$12),COLUMN('3'!BU$12)+ROW(A6)+60,1,1,"3"))="","",INDIRECT(ADDRESS(ROW('3'!BU$12),COLUMN('3'!BU$12)+ROW(A6)+60,1,1,"3")))</f>
        <v/>
      </c>
      <c r="H11" s="150">
        <f t="shared" ca="1" si="0"/>
        <v>-83017.071000000695</v>
      </c>
      <c r="I11" s="150">
        <f t="shared" ca="1" si="1"/>
        <v>350765.99499999988</v>
      </c>
      <c r="J11" s="150" t="str">
        <f t="shared" ca="1" si="2"/>
        <v/>
      </c>
      <c r="L11" s="112"/>
      <c r="M11" s="112"/>
    </row>
    <row r="12" spans="1:13">
      <c r="A12" s="146" t="s">
        <v>209</v>
      </c>
      <c r="B12" s="150">
        <f ca="1">IF(INDIRECT(ADDRESS(ROW('3'!BU$6),COLUMN('3'!BU$6)+ROW(A7)+36,1,1,"3"))="","",INDIRECT(ADDRESS(ROW('3'!BU$6),COLUMN('3'!BU$6)+ROW(A7)+36,1,1,"3")))</f>
        <v>1459749.8659999999</v>
      </c>
      <c r="C12" s="150">
        <f ca="1">IF(INDIRECT(ADDRESS(ROW('3'!BU$6),COLUMN('3'!BU$6)+ROW(A7)+48,1,1,"3"))="","",INDIRECT(ADDRESS(ROW('3'!BU$6),COLUMN('3'!BU$6)+ROW(A7)+48,1,1,"3")))</f>
        <v>1478726.0710000002</v>
      </c>
      <c r="D12" s="150" t="str">
        <f ca="1">IF(INDIRECT(ADDRESS(ROW('3'!BU$6),COLUMN('3'!BU$6)+ROW(A7)+60,1,1,"3"))="","",INDIRECT(ADDRESS(ROW('3'!BU$6),COLUMN('3'!BU$6)+ROW(A7)+60,1,1,"3")))</f>
        <v/>
      </c>
      <c r="E12" s="150">
        <f ca="1">IF(INDIRECT(ADDRESS(ROW('3'!BU$12),COLUMN('3'!BU$12)+ROW(A7)+36,1,1,"3"))="","",INDIRECT(ADDRESS(ROW('3'!BU$12),COLUMN('3'!BU$12)+ROW(A7)+36,1,1,"3")))</f>
        <v>1233758.4669999992</v>
      </c>
      <c r="F12" s="150">
        <f ca="1">IF(INDIRECT(ADDRESS(ROW('3'!BU$12),COLUMN('3'!BU$12)+ROW(A7)+48,1,1,"3"))="","",INDIRECT(ADDRESS(ROW('3'!BU$12),COLUMN('3'!BU$12)+ROW(A7)+48,1,1,"3")))</f>
        <v>1492723.1660000011</v>
      </c>
      <c r="G12" s="150" t="str">
        <f ca="1">IF(INDIRECT(ADDRESS(ROW('3'!BU$12),COLUMN('3'!BU$12)+ROW(A7)+60,1,1,"3"))="","",INDIRECT(ADDRESS(ROW('3'!BU$12),COLUMN('3'!BU$12)+ROW(A7)+60,1,1,"3")))</f>
        <v/>
      </c>
      <c r="H12" s="150">
        <f t="shared" ca="1" si="0"/>
        <v>225991.39900000067</v>
      </c>
      <c r="I12" s="150">
        <f t="shared" ca="1" si="1"/>
        <v>-13997.095000000903</v>
      </c>
      <c r="J12" s="150" t="str">
        <f t="shared" ca="1" si="2"/>
        <v/>
      </c>
      <c r="L12" s="112"/>
      <c r="M12" s="112"/>
    </row>
    <row r="13" spans="1:13">
      <c r="A13" s="146" t="s">
        <v>210</v>
      </c>
      <c r="B13" s="150">
        <f ca="1">IF(INDIRECT(ADDRESS(ROW('3'!BU$6),COLUMN('3'!BU$6)+ROW(A8)+36,1,1,"3"))="","",INDIRECT(ADDRESS(ROW('3'!BU$6),COLUMN('3'!BU$6)+ROW(A8)+36,1,1,"3")))</f>
        <v>1257876.4940000002</v>
      </c>
      <c r="C13" s="150">
        <f ca="1">IF(INDIRECT(ADDRESS(ROW('3'!BU$6),COLUMN('3'!BU$6)+ROW(A8)+48,1,1,"3"))="","",INDIRECT(ADDRESS(ROW('3'!BU$6),COLUMN('3'!BU$6)+ROW(A8)+48,1,1,"3")))</f>
        <v>1374693.1979999996</v>
      </c>
      <c r="D13" s="150" t="str">
        <f ca="1">IF(INDIRECT(ADDRESS(ROW('3'!BU$6),COLUMN('3'!BU$6)+ROW(A8)+60,1,1,"3"))="","",INDIRECT(ADDRESS(ROW('3'!BU$6),COLUMN('3'!BU$6)+ROW(A8)+60,1,1,"3")))</f>
        <v/>
      </c>
      <c r="E13" s="150">
        <f ca="1">IF(INDIRECT(ADDRESS(ROW('3'!BU$12),COLUMN('3'!BU$12)+ROW(A8)+36,1,1,"3"))="","",INDIRECT(ADDRESS(ROW('3'!BU$12),COLUMN('3'!BU$12)+ROW(A8)+36,1,1,"3")))</f>
        <v>1277311.9980000015</v>
      </c>
      <c r="F13" s="150">
        <f ca="1">IF(INDIRECT(ADDRESS(ROW('3'!BU$12),COLUMN('3'!BU$12)+ROW(A8)+48,1,1,"3"))="","",INDIRECT(ADDRESS(ROW('3'!BU$12),COLUMN('3'!BU$12)+ROW(A8)+48,1,1,"3")))</f>
        <v>1314621.5870000012</v>
      </c>
      <c r="G13" s="150" t="str">
        <f ca="1">IF(INDIRECT(ADDRESS(ROW('3'!BU$12),COLUMN('3'!BU$12)+ROW(A8)+60,1,1,"3"))="","",INDIRECT(ADDRESS(ROW('3'!BU$12),COLUMN('3'!BU$12)+ROW(A8)+60,1,1,"3")))</f>
        <v/>
      </c>
      <c r="H13" s="150">
        <f t="shared" ca="1" si="0"/>
        <v>-19435.504000001354</v>
      </c>
      <c r="I13" s="150">
        <f t="shared" ca="1" si="1"/>
        <v>60071.610999998404</v>
      </c>
      <c r="J13" s="150" t="str">
        <f t="shared" ca="1" si="2"/>
        <v/>
      </c>
      <c r="L13" s="112"/>
      <c r="M13" s="112"/>
    </row>
    <row r="14" spans="1:13">
      <c r="A14" s="146" t="s">
        <v>211</v>
      </c>
      <c r="B14" s="150">
        <f ca="1">IF(INDIRECT(ADDRESS(ROW('3'!BU$6),COLUMN('3'!BU$6)+ROW(A9)+36,1,1,"3"))="","",INDIRECT(ADDRESS(ROW('3'!BU$6),COLUMN('3'!BU$6)+ROW(A9)+36,1,1,"3")))</f>
        <v>1217869.4979999999</v>
      </c>
      <c r="C14" s="150">
        <f ca="1">IF(INDIRECT(ADDRESS(ROW('3'!BU$6),COLUMN('3'!BU$6)+ROW(A9)+48,1,1,"3"))="","",INDIRECT(ADDRESS(ROW('3'!BU$6),COLUMN('3'!BU$6)+ROW(A9)+48,1,1,"3")))</f>
        <v>1261556.1070000012</v>
      </c>
      <c r="D14" s="150" t="str">
        <f ca="1">IF(INDIRECT(ADDRESS(ROW('3'!BU$6),COLUMN('3'!BU$6)+ROW(A9)+60,1,1,"3"))="","",INDIRECT(ADDRESS(ROW('3'!BU$6),COLUMN('3'!BU$6)+ROW(A9)+60,1,1,"3")))</f>
        <v/>
      </c>
      <c r="E14" s="150">
        <f ca="1">IF(INDIRECT(ADDRESS(ROW('3'!BU$12),COLUMN('3'!BU$12)+ROW(A9)+36,1,1,"3"))="","",INDIRECT(ADDRESS(ROW('3'!BU$12),COLUMN('3'!BU$12)+ROW(A9)+36,1,1,"3")))</f>
        <v>1228203.9879999962</v>
      </c>
      <c r="F14" s="150">
        <f ca="1">IF(INDIRECT(ADDRESS(ROW('3'!BU$12),COLUMN('3'!BU$12)+ROW(A9)+48,1,1,"3"))="","",INDIRECT(ADDRESS(ROW('3'!BU$12),COLUMN('3'!BU$12)+ROW(A9)+48,1,1,"3")))</f>
        <v>1304550.4690000005</v>
      </c>
      <c r="G14" s="150" t="str">
        <f ca="1">IF(INDIRECT(ADDRESS(ROW('3'!BU$12),COLUMN('3'!BU$12)+ROW(A9)+60,1,1,"3"))="","",INDIRECT(ADDRESS(ROW('3'!BU$12),COLUMN('3'!BU$12)+ROW(A9)+60,1,1,"3")))</f>
        <v/>
      </c>
      <c r="H14" s="150">
        <f t="shared" ca="1" si="0"/>
        <v>-10334.489999996265</v>
      </c>
      <c r="I14" s="150">
        <f t="shared" ca="1" si="1"/>
        <v>-42994.361999999266</v>
      </c>
      <c r="J14" s="150" t="str">
        <f t="shared" ca="1" si="2"/>
        <v/>
      </c>
      <c r="L14" s="112"/>
      <c r="M14" s="112"/>
    </row>
    <row r="15" spans="1:13">
      <c r="A15" s="146" t="s">
        <v>212</v>
      </c>
      <c r="B15" s="150">
        <f ca="1">IF(INDIRECT(ADDRESS(ROW('3'!BU$6),COLUMN('3'!BU$6)+ROW(A10)+36,1,1,"3"))="","",INDIRECT(ADDRESS(ROW('3'!BU$6),COLUMN('3'!BU$6)+ROW(A10)+36,1,1,"3")))</f>
        <v>1209805.9029999988</v>
      </c>
      <c r="C15" s="150">
        <f ca="1">IF(INDIRECT(ADDRESS(ROW('3'!BU$6),COLUMN('3'!BU$6)+ROW(A10)+48,1,1,"3"))="","",INDIRECT(ADDRESS(ROW('3'!BU$6),COLUMN('3'!BU$6)+ROW(A10)+48,1,1,"3")))</f>
        <v>1282732.1999999983</v>
      </c>
      <c r="D15" s="150" t="str">
        <f ca="1">IF(INDIRECT(ADDRESS(ROW('3'!BU$6),COLUMN('3'!BU$6)+ROW(A10)+60,1,1,"3"))="","",INDIRECT(ADDRESS(ROW('3'!BU$6),COLUMN('3'!BU$6)+ROW(A10)+60,1,1,"3")))</f>
        <v/>
      </c>
      <c r="E15" s="150">
        <f ca="1">IF(INDIRECT(ADDRESS(ROW('3'!BU$12),COLUMN('3'!BU$12)+ROW(A10)+36,1,1,"3"))="","",INDIRECT(ADDRESS(ROW('3'!BU$12),COLUMN('3'!BU$12)+ROW(A10)+36,1,1,"3")))</f>
        <v>1416444.3940000031</v>
      </c>
      <c r="F15" s="150">
        <f ca="1">IF(INDIRECT(ADDRESS(ROW('3'!BU$12),COLUMN('3'!BU$12)+ROW(A10)+48,1,1,"3"))="","",INDIRECT(ADDRESS(ROW('3'!BU$12),COLUMN('3'!BU$12)+ROW(A10)+48,1,1,"3")))</f>
        <v>1578167.1949999984</v>
      </c>
      <c r="G15" s="150" t="str">
        <f ca="1">IF(INDIRECT(ADDRESS(ROW('3'!BU$12),COLUMN('3'!BU$12)+ROW(A10)+60,1,1,"3"))="","",INDIRECT(ADDRESS(ROW('3'!BU$12),COLUMN('3'!BU$12)+ROW(A10)+60,1,1,"3")))</f>
        <v/>
      </c>
      <c r="H15" s="150">
        <f t="shared" ca="1" si="0"/>
        <v>-206638.49100000435</v>
      </c>
      <c r="I15" s="150">
        <f t="shared" ca="1" si="1"/>
        <v>-295434.99500000011</v>
      </c>
      <c r="J15" s="150" t="str">
        <f t="shared" ca="1" si="2"/>
        <v/>
      </c>
      <c r="L15" s="112"/>
      <c r="M15" s="112"/>
    </row>
    <row r="16" spans="1:13">
      <c r="A16" s="146" t="s">
        <v>213</v>
      </c>
      <c r="B16" s="150">
        <f ca="1">IF(INDIRECT(ADDRESS(ROW('3'!BU$6),COLUMN('3'!BU$6)+ROW(A11)+36,1,1,"3"))="","",INDIRECT(ADDRESS(ROW('3'!BU$6),COLUMN('3'!BU$6)+ROW(A11)+36,1,1,"3")))</f>
        <v>1354090.2440000011</v>
      </c>
      <c r="C16" s="150">
        <f ca="1">IF(INDIRECT(ADDRESS(ROW('3'!BU$6),COLUMN('3'!BU$6)+ROW(A11)+48,1,1,"3"))="","",INDIRECT(ADDRESS(ROW('3'!BU$6),COLUMN('3'!BU$6)+ROW(A11)+48,1,1,"3")))</f>
        <v>1264748.5330000003</v>
      </c>
      <c r="D16" s="150" t="str">
        <f ca="1">IF(INDIRECT(ADDRESS(ROW('3'!BU$6),COLUMN('3'!BU$6)+ROW(A11)+60,1,1,"3"))="","",INDIRECT(ADDRESS(ROW('3'!BU$6),COLUMN('3'!BU$6)+ROW(A11)+60,1,1,"3")))</f>
        <v/>
      </c>
      <c r="E16" s="150">
        <f ca="1">IF(INDIRECT(ADDRESS(ROW('3'!BU$12),COLUMN('3'!BU$12)+ROW(A11)+36,1,1,"3"))="","",INDIRECT(ADDRESS(ROW('3'!BU$12),COLUMN('3'!BU$12)+ROW(A11)+36,1,1,"3")))</f>
        <v>1471104.6449999996</v>
      </c>
      <c r="F16" s="150">
        <f ca="1">IF(INDIRECT(ADDRESS(ROW('3'!BU$12),COLUMN('3'!BU$12)+ROW(A11)+48,1,1,"3"))="","",INDIRECT(ADDRESS(ROW('3'!BU$12),COLUMN('3'!BU$12)+ROW(A11)+48,1,1,"3")))</f>
        <v>1506903.9630000014</v>
      </c>
      <c r="G16" s="150" t="str">
        <f ca="1">IF(INDIRECT(ADDRESS(ROW('3'!BU$12),COLUMN('3'!BU$12)+ROW(A11)+60,1,1,"3"))="","",INDIRECT(ADDRESS(ROW('3'!BU$12),COLUMN('3'!BU$12)+ROW(A11)+60,1,1,"3")))</f>
        <v/>
      </c>
      <c r="H16" s="150">
        <f t="shared" ca="1" si="0"/>
        <v>-117014.40099999844</v>
      </c>
      <c r="I16" s="150">
        <f t="shared" ca="1" si="1"/>
        <v>-242155.4300000011</v>
      </c>
      <c r="J16" s="150" t="str">
        <f t="shared" ca="1" si="2"/>
        <v/>
      </c>
      <c r="L16" s="112"/>
      <c r="M16" s="112"/>
    </row>
    <row r="17" spans="1:13">
      <c r="A17" s="146" t="s">
        <v>214</v>
      </c>
      <c r="B17" s="150">
        <f ca="1">IF(INDIRECT(ADDRESS(ROW('3'!BU$6),COLUMN('3'!BU$6)+ROW(A12)+36,1,1,"3"))="","",INDIRECT(ADDRESS(ROW('3'!BU$6),COLUMN('3'!BU$6)+ROW(A12)+36,1,1,"3")))</f>
        <v>1358321.8030000005</v>
      </c>
      <c r="C17" s="150">
        <f ca="1">IF(INDIRECT(ADDRESS(ROW('3'!BU$6),COLUMN('3'!BU$6)+ROW(A12)+48,1,1,"3"))="","",INDIRECT(ADDRESS(ROW('3'!BU$6),COLUMN('3'!BU$6)+ROW(A12)+48,1,1,"3")))</f>
        <v>1470191.433</v>
      </c>
      <c r="D17" s="150" t="str">
        <f ca="1">IF(INDIRECT(ADDRESS(ROW('3'!BU$6),COLUMN('3'!BU$6)+ROW(A12)+60,1,1,"3"))="","",INDIRECT(ADDRESS(ROW('3'!BU$6),COLUMN('3'!BU$6)+ROW(A12)+60,1,1,"3")))</f>
        <v/>
      </c>
      <c r="E17" s="150">
        <f ca="1">IF(INDIRECT(ADDRESS(ROW('3'!BU$12),COLUMN('3'!BU$12)+ROW(A12)+36,1,1,"3"))="","",INDIRECT(ADDRESS(ROW('3'!BU$12),COLUMN('3'!BU$12)+ROW(A12)+36,1,1,"3")))</f>
        <v>2516060.8440000024</v>
      </c>
      <c r="F17" s="150">
        <f ca="1">IF(INDIRECT(ADDRESS(ROW('3'!BU$12),COLUMN('3'!BU$12)+ROW(A12)+48,1,1,"3"))="","",INDIRECT(ADDRESS(ROW('3'!BU$12),COLUMN('3'!BU$12)+ROW(A12)+48,1,1,"3")))</f>
        <v>2272808.0069999993</v>
      </c>
      <c r="G17" s="150" t="str">
        <f ca="1">IF(INDIRECT(ADDRESS(ROW('3'!BU$12),COLUMN('3'!BU$12)+ROW(A12)+60,1,1,"3"))="","",INDIRECT(ADDRESS(ROW('3'!BU$12),COLUMN('3'!BU$12)+ROW(A12)+60,1,1,"3")))</f>
        <v/>
      </c>
      <c r="H17" s="150">
        <f t="shared" ca="1" si="0"/>
        <v>-1157739.0410000018</v>
      </c>
      <c r="I17" s="150">
        <f t="shared" ca="1" si="1"/>
        <v>-802616.57399999932</v>
      </c>
      <c r="J17" s="150" t="str">
        <f t="shared" ca="1" si="2"/>
        <v/>
      </c>
      <c r="L17" s="112"/>
      <c r="M17" s="112"/>
    </row>
    <row r="18" spans="1:13">
      <c r="A18" s="159" t="s">
        <v>215</v>
      </c>
      <c r="B18" s="150">
        <f ca="1">SUM(B6:B17)</f>
        <v>15541746.577000001</v>
      </c>
      <c r="C18" s="150">
        <f t="shared" ref="C18:J18" ca="1" si="3">SUM(C6:C17)</f>
        <v>17145707.653999995</v>
      </c>
      <c r="D18" s="150">
        <f t="shared" ca="1" si="3"/>
        <v>5450595.2919999994</v>
      </c>
      <c r="E18" s="150">
        <f t="shared" ca="1" si="3"/>
        <v>16964660.367000002</v>
      </c>
      <c r="F18" s="150">
        <f t="shared" ca="1" si="3"/>
        <v>17878832.484000001</v>
      </c>
      <c r="G18" s="150">
        <f t="shared" ca="1" si="3"/>
        <v>6228056.3050000006</v>
      </c>
      <c r="H18" s="150">
        <f t="shared" ca="1" si="3"/>
        <v>-1422913.7900000019</v>
      </c>
      <c r="I18" s="150">
        <f t="shared" ca="1" si="3"/>
        <v>-733124.8300000017</v>
      </c>
      <c r="J18" s="150">
        <f t="shared" ca="1" si="3"/>
        <v>-777461.0130000012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339" t="s">
        <v>89</v>
      </c>
      <c r="B74" s="340"/>
      <c r="C74" s="340"/>
      <c r="D74" s="340"/>
      <c r="E74" s="340"/>
      <c r="F74" s="340"/>
      <c r="G74" s="340"/>
      <c r="H74" s="340"/>
      <c r="I74" s="340"/>
      <c r="J74" s="341"/>
    </row>
    <row r="75" spans="1:45" ht="15" customHeight="1">
      <c r="A75" s="138" t="s">
        <v>38</v>
      </c>
      <c r="B75" s="337" t="s">
        <v>94</v>
      </c>
      <c r="C75" s="345"/>
      <c r="D75" s="338"/>
      <c r="E75" s="337" t="s">
        <v>95</v>
      </c>
      <c r="F75" s="345"/>
      <c r="G75" s="338"/>
      <c r="H75" s="337" t="s">
        <v>96</v>
      </c>
      <c r="I75" s="345"/>
      <c r="J75" s="338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2023</v>
      </c>
      <c r="C78" s="158">
        <v>2024</v>
      </c>
      <c r="D78" s="158">
        <v>2025</v>
      </c>
      <c r="E78" s="158">
        <v>2023</v>
      </c>
      <c r="F78" s="158">
        <v>2024</v>
      </c>
      <c r="G78" s="158">
        <v>2025</v>
      </c>
      <c r="H78" s="158">
        <v>2023</v>
      </c>
      <c r="I78" s="158">
        <v>2024</v>
      </c>
      <c r="J78" s="158">
        <v>2025</v>
      </c>
      <c r="M78" s="111" t="s">
        <v>124</v>
      </c>
      <c r="N78" s="283" t="str">
        <f t="shared" ref="N78:N90" si="4">C810</f>
        <v>2020 fakts</v>
      </c>
      <c r="O78" s="283" t="str">
        <f t="shared" ref="O78:O90" si="5">D810</f>
        <v>2021 plāns</v>
      </c>
      <c r="P78" s="283" t="str">
        <f t="shared" ref="P78:P90" si="6">E810</f>
        <v>2021 fakts</v>
      </c>
      <c r="Q78" s="284" t="str">
        <f t="shared" ref="Q78:Q90" si="7">F810</f>
        <v>2022 plāns</v>
      </c>
      <c r="R78" s="284" t="str">
        <f t="shared" ref="R78:R90" si="8">G810</f>
        <v>2022 fakts</v>
      </c>
      <c r="S78" s="284" t="str">
        <f t="shared" ref="S78:S90" si="9">H810</f>
        <v>2023 plāns</v>
      </c>
      <c r="T78" s="284" t="str">
        <f t="shared" ref="T78:V90" si="10">I810</f>
        <v>2023 fakts</v>
      </c>
      <c r="U78" s="283" t="str">
        <f>J810</f>
        <v>2024 fakts</v>
      </c>
      <c r="V78" s="283" t="str">
        <f>K810</f>
        <v>2025 prognoze</v>
      </c>
      <c r="W78" s="284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203</v>
      </c>
      <c r="B79" s="147">
        <f ca="1">IFERROR(B6/T79*100,"")</f>
        <v>3.3208423151937532</v>
      </c>
      <c r="C79" s="147">
        <f ca="1">IFERROR(C6/U79*100,"")</f>
        <v>3.873221184594617</v>
      </c>
      <c r="D79" s="147">
        <f ca="1">IFERROR(D6/V79*100,"")</f>
        <v>3.4570542912893312</v>
      </c>
      <c r="E79" s="147">
        <f ca="1">IFERROR(E6/T79*100,"")</f>
        <v>2.7543558787903542</v>
      </c>
      <c r="F79" s="147">
        <f ca="1">IFERROR(F6/U79*100,"")</f>
        <v>3.2421783509450819</v>
      </c>
      <c r="G79" s="147">
        <f ca="1">IFERROR(G6/V79*100,"")</f>
        <v>3.3682334667826885</v>
      </c>
      <c r="H79" s="147">
        <f ca="1">IFERROR(B79-E79,"")</f>
        <v>0.56648643640339902</v>
      </c>
      <c r="I79" s="147">
        <f ca="1">IFERROR(C79-F79,"")</f>
        <v>0.63104283364953506</v>
      </c>
      <c r="J79" s="147">
        <f ca="1">IFERROR(D79-G79,"")</f>
        <v>8.8820824506642637E-2</v>
      </c>
      <c r="M79" s="283" t="s">
        <v>203</v>
      </c>
      <c r="N79" s="112">
        <f t="shared" si="4"/>
        <v>29224340</v>
      </c>
      <c r="O79" s="112">
        <f t="shared" si="5"/>
        <v>32285300</v>
      </c>
      <c r="P79" s="112">
        <f t="shared" si="6"/>
        <v>32283779</v>
      </c>
      <c r="Q79" s="112">
        <f t="shared" si="7"/>
        <v>36103656</v>
      </c>
      <c r="R79" s="112">
        <f t="shared" si="8"/>
        <v>36099675</v>
      </c>
      <c r="S79" s="112">
        <f t="shared" si="9"/>
        <v>39072483</v>
      </c>
      <c r="T79" s="112">
        <f t="shared" si="10"/>
        <v>39372411</v>
      </c>
      <c r="U79" s="112">
        <f t="shared" si="10"/>
        <v>40208388</v>
      </c>
      <c r="V79" s="112">
        <f t="shared" si="10"/>
        <v>41956681.000200301</v>
      </c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204</v>
      </c>
      <c r="B80" s="147">
        <f t="shared" ref="B80:B90" ca="1" si="11">IFERROR(B7/T80*100,"")</f>
        <v>3.3908940196728112</v>
      </c>
      <c r="C80" s="147">
        <f t="shared" ref="C80:C90" ca="1" si="12">IFERROR(C7/U80*100,"")</f>
        <v>3.3700840083417414</v>
      </c>
      <c r="D80" s="147">
        <f t="shared" ref="D80:D90" ca="1" si="13">IFERROR(D7/V80*100,"")</f>
        <v>3.4368375134179834</v>
      </c>
      <c r="E80" s="147">
        <f t="shared" ref="E80:E90" ca="1" si="14">IFERROR(E7/T80*100,"")</f>
        <v>3.5832305392727908</v>
      </c>
      <c r="F80" s="147">
        <f t="shared" ref="F80:F90" ca="1" si="15">IFERROR(F7/U80*100,"")</f>
        <v>3.5512928521282676</v>
      </c>
      <c r="G80" s="147">
        <f t="shared" ref="G80:G90" ca="1" si="16">IFERROR(G7/V80*100,"")</f>
        <v>3.6879493613725383</v>
      </c>
      <c r="H80" s="147">
        <f t="shared" ref="H80:H90" ca="1" si="17">IFERROR(B80-E80,"")</f>
        <v>-0.19233651959997955</v>
      </c>
      <c r="I80" s="147">
        <f t="shared" ref="I80:I90" ca="1" si="18">IFERROR(C80-F80,"")</f>
        <v>-0.18120884378652624</v>
      </c>
      <c r="J80" s="147">
        <f t="shared" ref="J80:J90" ca="1" si="19">IFERROR(D80-G80,"")</f>
        <v>-0.25111184795455488</v>
      </c>
      <c r="M80" s="283" t="s">
        <v>204</v>
      </c>
      <c r="N80" s="112">
        <f t="shared" si="4"/>
        <v>29224340</v>
      </c>
      <c r="O80" s="112">
        <f t="shared" si="5"/>
        <v>32285300</v>
      </c>
      <c r="P80" s="112">
        <f t="shared" si="6"/>
        <v>32283779</v>
      </c>
      <c r="Q80" s="112">
        <f t="shared" si="7"/>
        <v>36103656</v>
      </c>
      <c r="R80" s="112">
        <f t="shared" si="8"/>
        <v>36099675</v>
      </c>
      <c r="S80" s="112">
        <f t="shared" si="9"/>
        <v>39072483</v>
      </c>
      <c r="T80" s="112">
        <f t="shared" si="10"/>
        <v>39372411</v>
      </c>
      <c r="U80" s="112">
        <f t="shared" si="10"/>
        <v>40208388</v>
      </c>
      <c r="V80" s="112">
        <f t="shared" si="10"/>
        <v>41956681.000200301</v>
      </c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205</v>
      </c>
      <c r="B81" s="147">
        <f t="shared" ca="1" si="11"/>
        <v>2.3923684658275057</v>
      </c>
      <c r="C81" s="147">
        <f t="shared" ca="1" si="12"/>
        <v>2.943410076524331</v>
      </c>
      <c r="D81" s="147">
        <f t="shared" ca="1" si="13"/>
        <v>2.7676312099006521</v>
      </c>
      <c r="E81" s="147">
        <f t="shared" ca="1" si="14"/>
        <v>3.4372129611265123</v>
      </c>
      <c r="F81" s="147">
        <f t="shared" ca="1" si="15"/>
        <v>3.2898433182648361</v>
      </c>
      <c r="G81" s="147">
        <f t="shared" ca="1" si="16"/>
        <v>3.8475590812159171</v>
      </c>
      <c r="H81" s="147">
        <f t="shared" ca="1" si="17"/>
        <v>-1.0448444952990066</v>
      </c>
      <c r="I81" s="147">
        <f t="shared" ca="1" si="18"/>
        <v>-0.34643324174050516</v>
      </c>
      <c r="J81" s="147">
        <f t="shared" ca="1" si="19"/>
        <v>-1.0799278713152649</v>
      </c>
      <c r="M81" s="283" t="s">
        <v>205</v>
      </c>
      <c r="N81" s="112">
        <f t="shared" si="4"/>
        <v>29224340</v>
      </c>
      <c r="O81" s="112">
        <f t="shared" si="5"/>
        <v>32285300</v>
      </c>
      <c r="P81" s="112">
        <f t="shared" si="6"/>
        <v>32283779</v>
      </c>
      <c r="Q81" s="112">
        <f t="shared" si="7"/>
        <v>36103656</v>
      </c>
      <c r="R81" s="112">
        <f t="shared" si="8"/>
        <v>36099675</v>
      </c>
      <c r="S81" s="112">
        <f t="shared" si="9"/>
        <v>39072483</v>
      </c>
      <c r="T81" s="112">
        <f t="shared" si="10"/>
        <v>39372411</v>
      </c>
      <c r="U81" s="112">
        <f t="shared" si="10"/>
        <v>40208388</v>
      </c>
      <c r="V81" s="112">
        <f t="shared" si="10"/>
        <v>41956681.000200301</v>
      </c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206</v>
      </c>
      <c r="B82" s="147">
        <f t="shared" ca="1" si="11"/>
        <v>3.5379683199995045</v>
      </c>
      <c r="C82" s="147">
        <f t="shared" ca="1" si="12"/>
        <v>3.5207769184877544</v>
      </c>
      <c r="D82" s="147">
        <f t="shared" ca="1" si="13"/>
        <v>3.3294838097258692</v>
      </c>
      <c r="E82" s="147">
        <f t="shared" ca="1" si="14"/>
        <v>3.3033991187382457</v>
      </c>
      <c r="F82" s="147">
        <f t="shared" ca="1" si="15"/>
        <v>3.8631330905382204</v>
      </c>
      <c r="G82" s="147">
        <f t="shared" ca="1" si="16"/>
        <v>3.9402737671078136</v>
      </c>
      <c r="H82" s="147">
        <f t="shared" ca="1" si="17"/>
        <v>0.2345692012612588</v>
      </c>
      <c r="I82" s="147">
        <f t="shared" ca="1" si="18"/>
        <v>-0.34235617205046598</v>
      </c>
      <c r="J82" s="147">
        <f t="shared" ca="1" si="19"/>
        <v>-0.61078995738194442</v>
      </c>
      <c r="M82" s="283" t="s">
        <v>206</v>
      </c>
      <c r="N82" s="112">
        <f t="shared" si="4"/>
        <v>29224340</v>
      </c>
      <c r="O82" s="112">
        <f t="shared" si="5"/>
        <v>32285300</v>
      </c>
      <c r="P82" s="112">
        <f t="shared" si="6"/>
        <v>32283779</v>
      </c>
      <c r="Q82" s="112">
        <f t="shared" si="7"/>
        <v>36103656</v>
      </c>
      <c r="R82" s="112">
        <f t="shared" si="8"/>
        <v>36099675</v>
      </c>
      <c r="S82" s="112">
        <f t="shared" si="9"/>
        <v>39072483</v>
      </c>
      <c r="T82" s="112">
        <f t="shared" si="10"/>
        <v>39372411</v>
      </c>
      <c r="U82" s="112">
        <f t="shared" si="10"/>
        <v>40208388</v>
      </c>
      <c r="V82" s="112">
        <f t="shared" si="10"/>
        <v>41956681.000200301</v>
      </c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207</v>
      </c>
      <c r="B83" s="147">
        <f t="shared" ca="1" si="11"/>
        <v>3.5621343661174318</v>
      </c>
      <c r="C83" s="147">
        <f t="shared" ca="1" si="12"/>
        <v>4.2574704685997355</v>
      </c>
      <c r="D83" s="147" t="str">
        <f t="shared" ca="1" si="13"/>
        <v/>
      </c>
      <c r="E83" s="147">
        <f t="shared" ca="1" si="14"/>
        <v>3.2650052799662168</v>
      </c>
      <c r="F83" s="147">
        <f t="shared" ca="1" si="15"/>
        <v>3.3887061102772877</v>
      </c>
      <c r="G83" s="147" t="str">
        <f t="shared" ca="1" si="16"/>
        <v/>
      </c>
      <c r="H83" s="147">
        <f t="shared" ca="1" si="17"/>
        <v>0.29712908615121503</v>
      </c>
      <c r="I83" s="147">
        <f t="shared" ca="1" si="18"/>
        <v>0.8687643583224478</v>
      </c>
      <c r="J83" s="147" t="str">
        <f t="shared" ca="1" si="19"/>
        <v/>
      </c>
      <c r="M83" s="283" t="s">
        <v>207</v>
      </c>
      <c r="N83" s="112">
        <f t="shared" si="4"/>
        <v>29224340</v>
      </c>
      <c r="O83" s="112">
        <f t="shared" si="5"/>
        <v>32285300</v>
      </c>
      <c r="P83" s="112">
        <f t="shared" si="6"/>
        <v>32283779</v>
      </c>
      <c r="Q83" s="112">
        <f t="shared" si="7"/>
        <v>36103656</v>
      </c>
      <c r="R83" s="112">
        <f t="shared" si="8"/>
        <v>36099675</v>
      </c>
      <c r="S83" s="112">
        <f t="shared" si="9"/>
        <v>39072483</v>
      </c>
      <c r="T83" s="112">
        <f t="shared" si="10"/>
        <v>39372411</v>
      </c>
      <c r="U83" s="112">
        <f t="shared" si="10"/>
        <v>40208388</v>
      </c>
      <c r="V83" s="112">
        <f t="shared" si="10"/>
        <v>41956681.000200301</v>
      </c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208</v>
      </c>
      <c r="B84" s="147">
        <f t="shared" ca="1" si="11"/>
        <v>3.3120796133109551</v>
      </c>
      <c r="C84" s="147">
        <f t="shared" ca="1" si="12"/>
        <v>4.4509076638436733</v>
      </c>
      <c r="D84" s="147" t="str">
        <f t="shared" ca="1" si="13"/>
        <v/>
      </c>
      <c r="E84" s="147">
        <f t="shared" ca="1" si="14"/>
        <v>3.5229304829719492</v>
      </c>
      <c r="F84" s="147">
        <f t="shared" ca="1" si="15"/>
        <v>3.5785374633770446</v>
      </c>
      <c r="G84" s="147" t="str">
        <f t="shared" ca="1" si="16"/>
        <v/>
      </c>
      <c r="H84" s="147">
        <f t="shared" ca="1" si="17"/>
        <v>-0.21085086966099409</v>
      </c>
      <c r="I84" s="147">
        <f t="shared" ca="1" si="18"/>
        <v>0.87237020046662872</v>
      </c>
      <c r="J84" s="147" t="str">
        <f t="shared" ca="1" si="19"/>
        <v/>
      </c>
      <c r="M84" s="283" t="s">
        <v>208</v>
      </c>
      <c r="N84" s="112">
        <f t="shared" si="4"/>
        <v>29224340</v>
      </c>
      <c r="O84" s="112">
        <f t="shared" si="5"/>
        <v>32285300</v>
      </c>
      <c r="P84" s="112">
        <f t="shared" si="6"/>
        <v>32283779</v>
      </c>
      <c r="Q84" s="112">
        <f t="shared" si="7"/>
        <v>36103656</v>
      </c>
      <c r="R84" s="112">
        <f t="shared" si="8"/>
        <v>36099675</v>
      </c>
      <c r="S84" s="112">
        <f t="shared" si="9"/>
        <v>39072483</v>
      </c>
      <c r="T84" s="112">
        <f t="shared" si="10"/>
        <v>39372411</v>
      </c>
      <c r="U84" s="112">
        <f t="shared" si="10"/>
        <v>40208388</v>
      </c>
      <c r="V84" s="112">
        <f t="shared" si="10"/>
        <v>41956681.000200301</v>
      </c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209</v>
      </c>
      <c r="B85" s="147">
        <f t="shared" ca="1" si="11"/>
        <v>3.7075450268971335</v>
      </c>
      <c r="C85" s="147">
        <f t="shared" ca="1" si="12"/>
        <v>3.677655694627699</v>
      </c>
      <c r="D85" s="147" t="str">
        <f t="shared" ca="1" si="13"/>
        <v/>
      </c>
      <c r="E85" s="147">
        <f t="shared" ca="1" si="14"/>
        <v>3.1335608759138456</v>
      </c>
      <c r="F85" s="147">
        <f t="shared" ca="1" si="15"/>
        <v>3.7124670752779276</v>
      </c>
      <c r="G85" s="147" t="str">
        <f t="shared" ca="1" si="16"/>
        <v/>
      </c>
      <c r="H85" s="147">
        <f t="shared" ca="1" si="17"/>
        <v>0.57398415098328792</v>
      </c>
      <c r="I85" s="147">
        <f t="shared" ca="1" si="18"/>
        <v>-3.4811380650228596E-2</v>
      </c>
      <c r="J85" s="147" t="str">
        <f t="shared" ca="1" si="19"/>
        <v/>
      </c>
      <c r="M85" s="283" t="s">
        <v>209</v>
      </c>
      <c r="N85" s="112">
        <f t="shared" si="4"/>
        <v>29224340</v>
      </c>
      <c r="O85" s="112">
        <f t="shared" si="5"/>
        <v>32285300</v>
      </c>
      <c r="P85" s="112">
        <f t="shared" si="6"/>
        <v>32283779</v>
      </c>
      <c r="Q85" s="112">
        <f t="shared" si="7"/>
        <v>36103656</v>
      </c>
      <c r="R85" s="112">
        <f t="shared" si="8"/>
        <v>36099675</v>
      </c>
      <c r="S85" s="112">
        <f t="shared" si="9"/>
        <v>39072483</v>
      </c>
      <c r="T85" s="112">
        <f t="shared" si="10"/>
        <v>39372411</v>
      </c>
      <c r="U85" s="112">
        <f t="shared" si="10"/>
        <v>40208388</v>
      </c>
      <c r="V85" s="112">
        <f t="shared" si="10"/>
        <v>41956681.000200301</v>
      </c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210</v>
      </c>
      <c r="B86" s="147">
        <f t="shared" ca="1" si="11"/>
        <v>3.1948170357156949</v>
      </c>
      <c r="C86" s="147">
        <f t="shared" ca="1" si="12"/>
        <v>3.4189214399741661</v>
      </c>
      <c r="D86" s="147" t="str">
        <f t="shared" ca="1" si="13"/>
        <v/>
      </c>
      <c r="E86" s="147">
        <f t="shared" ca="1" si="14"/>
        <v>3.2441802916260358</v>
      </c>
      <c r="F86" s="147">
        <f t="shared" ca="1" si="15"/>
        <v>3.2695207452733523</v>
      </c>
      <c r="G86" s="147" t="str">
        <f t="shared" ca="1" si="16"/>
        <v/>
      </c>
      <c r="H86" s="147">
        <f t="shared" ca="1" si="17"/>
        <v>-4.9363255910340964E-2</v>
      </c>
      <c r="I86" s="147">
        <f t="shared" ca="1" si="18"/>
        <v>0.14940069470081374</v>
      </c>
      <c r="J86" s="147" t="str">
        <f t="shared" ca="1" si="19"/>
        <v/>
      </c>
      <c r="M86" s="283" t="s">
        <v>210</v>
      </c>
      <c r="N86" s="112">
        <f t="shared" si="4"/>
        <v>29224340</v>
      </c>
      <c r="O86" s="112">
        <f t="shared" si="5"/>
        <v>32285300</v>
      </c>
      <c r="P86" s="112">
        <f t="shared" si="6"/>
        <v>32283779</v>
      </c>
      <c r="Q86" s="112">
        <f t="shared" si="7"/>
        <v>36103656</v>
      </c>
      <c r="R86" s="112">
        <f t="shared" si="8"/>
        <v>36099675</v>
      </c>
      <c r="S86" s="112">
        <f t="shared" si="9"/>
        <v>39072483</v>
      </c>
      <c r="T86" s="112">
        <f t="shared" si="10"/>
        <v>39372411</v>
      </c>
      <c r="U86" s="112">
        <f t="shared" si="10"/>
        <v>40208388</v>
      </c>
      <c r="V86" s="112">
        <f t="shared" si="10"/>
        <v>41956681.000200301</v>
      </c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211</v>
      </c>
      <c r="B87" s="147">
        <f t="shared" ca="1" si="11"/>
        <v>3.0932052852948222</v>
      </c>
      <c r="C87" s="147">
        <f t="shared" ca="1" si="12"/>
        <v>3.1375446013901409</v>
      </c>
      <c r="D87" s="147" t="str">
        <f t="shared" ca="1" si="13"/>
        <v/>
      </c>
      <c r="E87" s="147">
        <f t="shared" ca="1" si="14"/>
        <v>3.1194533349760984</v>
      </c>
      <c r="F87" s="147">
        <f t="shared" ca="1" si="15"/>
        <v>3.2444734392236771</v>
      </c>
      <c r="G87" s="147" t="str">
        <f t="shared" ca="1" si="16"/>
        <v/>
      </c>
      <c r="H87" s="147">
        <f t="shared" ca="1" si="17"/>
        <v>-2.6248049681276253E-2</v>
      </c>
      <c r="I87" s="147">
        <f t="shared" ca="1" si="18"/>
        <v>-0.10692883783353624</v>
      </c>
      <c r="J87" s="147" t="str">
        <f t="shared" ca="1" si="19"/>
        <v/>
      </c>
      <c r="M87" s="283" t="s">
        <v>211</v>
      </c>
      <c r="N87" s="112">
        <f t="shared" si="4"/>
        <v>29224340</v>
      </c>
      <c r="O87" s="112">
        <f t="shared" si="5"/>
        <v>32285300</v>
      </c>
      <c r="P87" s="112">
        <f t="shared" si="6"/>
        <v>32283779</v>
      </c>
      <c r="Q87" s="112">
        <f t="shared" si="7"/>
        <v>36103656</v>
      </c>
      <c r="R87" s="112">
        <f t="shared" si="8"/>
        <v>36099675</v>
      </c>
      <c r="S87" s="112">
        <f t="shared" si="9"/>
        <v>39072483</v>
      </c>
      <c r="T87" s="112">
        <f t="shared" si="10"/>
        <v>39372411</v>
      </c>
      <c r="U87" s="112">
        <f t="shared" si="10"/>
        <v>40208388</v>
      </c>
      <c r="V87" s="112">
        <f t="shared" si="10"/>
        <v>41956681.000200301</v>
      </c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212</v>
      </c>
      <c r="B88" s="147">
        <f t="shared" ca="1" si="11"/>
        <v>3.0727249672365726</v>
      </c>
      <c r="C88" s="147">
        <f t="shared" ca="1" si="12"/>
        <v>3.1902104605635979</v>
      </c>
      <c r="D88" s="147" t="str">
        <f t="shared" ca="1" si="13"/>
        <v/>
      </c>
      <c r="E88" s="147">
        <f t="shared" ca="1" si="14"/>
        <v>3.5975556437222069</v>
      </c>
      <c r="F88" s="147">
        <f t="shared" ca="1" si="15"/>
        <v>3.9249700709215163</v>
      </c>
      <c r="G88" s="147" t="str">
        <f t="shared" ca="1" si="16"/>
        <v/>
      </c>
      <c r="H88" s="147">
        <f t="shared" ca="1" si="17"/>
        <v>-0.52483067648563431</v>
      </c>
      <c r="I88" s="147">
        <f t="shared" ca="1" si="18"/>
        <v>-0.73475961035791837</v>
      </c>
      <c r="J88" s="147" t="str">
        <f t="shared" ca="1" si="19"/>
        <v/>
      </c>
      <c r="M88" s="283" t="s">
        <v>212</v>
      </c>
      <c r="N88" s="112">
        <f t="shared" si="4"/>
        <v>29224340</v>
      </c>
      <c r="O88" s="112">
        <f t="shared" si="5"/>
        <v>32285300</v>
      </c>
      <c r="P88" s="112">
        <f t="shared" si="6"/>
        <v>32283779</v>
      </c>
      <c r="Q88" s="112">
        <f t="shared" si="7"/>
        <v>36103656</v>
      </c>
      <c r="R88" s="112">
        <f t="shared" si="8"/>
        <v>36099675</v>
      </c>
      <c r="S88" s="112">
        <f t="shared" si="9"/>
        <v>39072483</v>
      </c>
      <c r="T88" s="112">
        <f t="shared" si="10"/>
        <v>39372411</v>
      </c>
      <c r="U88" s="112">
        <f t="shared" si="10"/>
        <v>40208388</v>
      </c>
      <c r="V88" s="112">
        <f t="shared" si="10"/>
        <v>41956681.000200301</v>
      </c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213</v>
      </c>
      <c r="B89" s="147">
        <f t="shared" ca="1" si="11"/>
        <v>3.4391854844754142</v>
      </c>
      <c r="C89" s="147">
        <f t="shared" ca="1" si="12"/>
        <v>3.1454843029270414</v>
      </c>
      <c r="D89" s="147" t="str">
        <f t="shared" ca="1" si="13"/>
        <v/>
      </c>
      <c r="E89" s="147">
        <f t="shared" ca="1" si="14"/>
        <v>3.7363844571265896</v>
      </c>
      <c r="F89" s="147">
        <f t="shared" ca="1" si="15"/>
        <v>3.7477353307474086</v>
      </c>
      <c r="G89" s="147" t="str">
        <f t="shared" ca="1" si="16"/>
        <v/>
      </c>
      <c r="H89" s="147">
        <f t="shared" ca="1" si="17"/>
        <v>-0.29719897265117545</v>
      </c>
      <c r="I89" s="147">
        <f t="shared" ca="1" si="18"/>
        <v>-0.60225102782036721</v>
      </c>
      <c r="J89" s="147" t="str">
        <f t="shared" ca="1" si="19"/>
        <v/>
      </c>
      <c r="M89" s="283" t="s">
        <v>213</v>
      </c>
      <c r="N89" s="112">
        <f t="shared" si="4"/>
        <v>29224340</v>
      </c>
      <c r="O89" s="112">
        <f t="shared" si="5"/>
        <v>32285300</v>
      </c>
      <c r="P89" s="112">
        <f t="shared" si="6"/>
        <v>32283779</v>
      </c>
      <c r="Q89" s="112">
        <f t="shared" si="7"/>
        <v>36103656</v>
      </c>
      <c r="R89" s="112">
        <f t="shared" si="8"/>
        <v>36099675</v>
      </c>
      <c r="S89" s="112">
        <f t="shared" si="9"/>
        <v>39072483</v>
      </c>
      <c r="T89" s="112">
        <f t="shared" si="10"/>
        <v>39372411</v>
      </c>
      <c r="U89" s="112">
        <f t="shared" si="10"/>
        <v>40208388</v>
      </c>
      <c r="V89" s="112">
        <f t="shared" si="10"/>
        <v>41956681.000200301</v>
      </c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214</v>
      </c>
      <c r="B90" s="147">
        <f t="shared" ca="1" si="11"/>
        <v>3.4499330076585877</v>
      </c>
      <c r="C90" s="147">
        <f t="shared" ca="1" si="12"/>
        <v>3.6564296807919785</v>
      </c>
      <c r="D90" s="147" t="str">
        <f t="shared" ca="1" si="13"/>
        <v/>
      </c>
      <c r="E90" s="147">
        <f t="shared" ca="1" si="14"/>
        <v>6.3904159793516397</v>
      </c>
      <c r="F90" s="147">
        <f t="shared" ca="1" si="15"/>
        <v>5.6525718141199777</v>
      </c>
      <c r="G90" s="147" t="str">
        <f t="shared" ca="1" si="16"/>
        <v/>
      </c>
      <c r="H90" s="147">
        <f t="shared" ca="1" si="17"/>
        <v>-2.9404829716930521</v>
      </c>
      <c r="I90" s="147">
        <f t="shared" ca="1" si="18"/>
        <v>-1.9961421333279992</v>
      </c>
      <c r="J90" s="147" t="str">
        <f t="shared" ca="1" si="19"/>
        <v/>
      </c>
      <c r="M90" s="283" t="s">
        <v>214</v>
      </c>
      <c r="N90" s="112">
        <f t="shared" si="4"/>
        <v>29224340</v>
      </c>
      <c r="O90" s="112">
        <f t="shared" si="5"/>
        <v>32285300</v>
      </c>
      <c r="P90" s="112">
        <f t="shared" si="6"/>
        <v>32283779</v>
      </c>
      <c r="Q90" s="112">
        <f t="shared" si="7"/>
        <v>36103656</v>
      </c>
      <c r="R90" s="112">
        <f t="shared" si="8"/>
        <v>36099675</v>
      </c>
      <c r="S90" s="112">
        <f t="shared" si="9"/>
        <v>39072483</v>
      </c>
      <c r="T90" s="112">
        <f t="shared" si="10"/>
        <v>39372411</v>
      </c>
      <c r="U90" s="112">
        <f t="shared" si="10"/>
        <v>40208388</v>
      </c>
      <c r="V90" s="112">
        <f t="shared" si="10"/>
        <v>41956681.000200301</v>
      </c>
      <c r="AP90" s="33"/>
      <c r="AQ90" s="33"/>
      <c r="AR90" s="33"/>
      <c r="AS90" s="33"/>
    </row>
    <row r="91" spans="1:45">
      <c r="A91" s="159" t="s">
        <v>215</v>
      </c>
      <c r="B91" s="147">
        <f t="shared" ref="B91:G91" ca="1" si="20">SUM(B79:B90)</f>
        <v>39.473697907400187</v>
      </c>
      <c r="C91" s="147">
        <f t="shared" ca="1" si="20"/>
        <v>42.642116500666482</v>
      </c>
      <c r="D91" s="147">
        <f t="shared" ca="1" si="20"/>
        <v>12.991006824333834</v>
      </c>
      <c r="E91" s="147">
        <f t="shared" ca="1" si="20"/>
        <v>43.087684843582487</v>
      </c>
      <c r="F91" s="147">
        <f t="shared" ca="1" si="20"/>
        <v>44.465429661094603</v>
      </c>
      <c r="G91" s="147">
        <f t="shared" ca="1" si="20"/>
        <v>14.844015676478957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339" t="s">
        <v>3</v>
      </c>
      <c r="B147" s="340"/>
      <c r="C147" s="340"/>
      <c r="D147" s="340"/>
      <c r="E147" s="340"/>
      <c r="F147" s="340"/>
      <c r="G147" s="340"/>
      <c r="H147" s="340"/>
      <c r="I147" s="341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58">
        <v>2022</v>
      </c>
      <c r="C151" s="158">
        <v>2023</v>
      </c>
      <c r="D151" s="158">
        <v>2024</v>
      </c>
      <c r="E151" s="158">
        <v>2025</v>
      </c>
      <c r="F151" s="158">
        <v>2022</v>
      </c>
      <c r="G151" s="158">
        <v>2023</v>
      </c>
      <c r="H151" s="158">
        <v>2024</v>
      </c>
      <c r="I151" s="158">
        <v>2025</v>
      </c>
      <c r="J151" s="137"/>
    </row>
    <row r="152" spans="1:10">
      <c r="A152" s="146" t="s">
        <v>203</v>
      </c>
      <c r="B152" s="150">
        <f ca="1">IF(INDIRECT(ADDRESS(ROW('3'!BU$7),COLUMN('3'!BU$6)+ROW(A1)+24,1,1,"3"))="","",INDIRECT(ADDRESS(ROW('3'!BU$7),COLUMN('3'!BU$6)+ROW(A1)+24,1,1,"3")))</f>
        <v>941791.93599999999</v>
      </c>
      <c r="C152" s="150">
        <f ca="1">IF(INDIRECT(ADDRESS(ROW('3'!BU$7),COLUMN('3'!BU$6)+ROW(A1)+36,1,1,"3"))="","",INDIRECT(ADDRESS(ROW('3'!BU$7),COLUMN('3'!BU$6)+ROW(A1)+36,1,1,"3")))</f>
        <v>1077162.7609999999</v>
      </c>
      <c r="D152" s="150">
        <f ca="1">IF(INDIRECT(ADDRESS(ROW('3'!BU$7),COLUMN('3'!BU$6)+ROW(A1)+48,1,1,"3"))="","",INDIRECT(ADDRESS(ROW('3'!BU$7),COLUMN('3'!BU$6)+ROW(A1)+48,1,1,"3")))</f>
        <v>1080454.102</v>
      </c>
      <c r="E152" s="150">
        <f ca="1">IF(INDIRECT(ADDRESS(ROW('3'!BU$7),COLUMN('3'!BU$6)+ROW(A1)+60,1,1,"3"))="","",INDIRECT(ADDRESS(ROW('3'!BU$7),COLUMN('3'!BU$6)+ROW(A1)+60,1,1,"3")))</f>
        <v>1197099.889</v>
      </c>
      <c r="F152" s="147">
        <f ca="1">IFERROR(B152/R79*100,"")</f>
        <v>2.6088654149933483</v>
      </c>
      <c r="G152" s="147">
        <f ca="1">IFERROR(C152/T79*100,"")</f>
        <v>2.7358313439326842</v>
      </c>
      <c r="H152" s="147">
        <f ca="1">IFERROR(D152/U79*100,"")</f>
        <v>2.6871360821528087</v>
      </c>
      <c r="I152" s="147">
        <f ca="1">IFERROR(E152/V79*100,"")</f>
        <v>2.853180615011671</v>
      </c>
      <c r="J152" s="177"/>
    </row>
    <row r="153" spans="1:10">
      <c r="A153" s="146" t="s">
        <v>204</v>
      </c>
      <c r="B153" s="150">
        <f ca="1">IF(INDIRECT(ADDRESS(ROW('3'!BU$7),COLUMN('3'!BU$6)+ROW(A2)+24,1,1,"3"))="","",INDIRECT(ADDRESS(ROW('3'!BU$7),COLUMN('3'!BU$6)+ROW(A2)+24,1,1,"3")))</f>
        <v>870814.98900000006</v>
      </c>
      <c r="C153" s="150">
        <f ca="1">IF(INDIRECT(ADDRESS(ROW('3'!BU$7),COLUMN('3'!BU$6)+ROW(A2)+36,1,1,"3"))="","",INDIRECT(ADDRESS(ROW('3'!BU$7),COLUMN('3'!BU$6)+ROW(A2)+36,1,1,"3")))</f>
        <v>983504.24399999995</v>
      </c>
      <c r="D153" s="150">
        <f ca="1">IF(INDIRECT(ADDRESS(ROW('3'!BU$7),COLUMN('3'!BU$6)+ROW(A2)+48,1,1,"3"))="","",INDIRECT(ADDRESS(ROW('3'!BU$7),COLUMN('3'!BU$6)+ROW(A2)+48,1,1,"3")))</f>
        <v>1024283.855</v>
      </c>
      <c r="E153" s="150">
        <f ca="1">IF(INDIRECT(ADDRESS(ROW('3'!BU$7),COLUMN('3'!BU$6)+ROW(A2)+60,1,1,"3"))="","",INDIRECT(ADDRESS(ROW('3'!BU$7),COLUMN('3'!BU$6)+ROW(A2)+60,1,1,"3")))</f>
        <v>1075544.3429999999</v>
      </c>
      <c r="F153" s="147">
        <f t="shared" ref="F153:F163" ca="1" si="21">IFERROR(B153/R80*100,"")</f>
        <v>2.4122516033731607</v>
      </c>
      <c r="G153" s="147">
        <f t="shared" ref="G153:G163" ca="1" si="22">IFERROR(C153/T80*100,"")</f>
        <v>2.4979528025347491</v>
      </c>
      <c r="H153" s="147">
        <f t="shared" ref="H153:H163" ca="1" si="23">IFERROR(D153/U80*100,"")</f>
        <v>2.5474382484570133</v>
      </c>
      <c r="I153" s="147">
        <f t="shared" ref="I153:I163" ca="1" si="24">IFERROR(E153/V80*100,"")</f>
        <v>2.5634638330778956</v>
      </c>
      <c r="J153" s="177"/>
    </row>
    <row r="154" spans="1:10">
      <c r="A154" s="146" t="s">
        <v>205</v>
      </c>
      <c r="B154" s="150">
        <f ca="1">IF(INDIRECT(ADDRESS(ROW('3'!BU$7),COLUMN('3'!BU$6)+ROW(A3)+24,1,1,"3"))="","",INDIRECT(ADDRESS(ROW('3'!BU$7),COLUMN('3'!BU$6)+ROW(A3)+24,1,1,"3")))</f>
        <v>769054.68499999982</v>
      </c>
      <c r="C154" s="150">
        <f ca="1">IF(INDIRECT(ADDRESS(ROW('3'!BU$7),COLUMN('3'!BU$6)+ROW(A3)+36,1,1,"3"))="","",INDIRECT(ADDRESS(ROW('3'!BU$7),COLUMN('3'!BU$6)+ROW(A3)+36,1,1,"3")))</f>
        <v>838446.19</v>
      </c>
      <c r="D154" s="150">
        <f ca="1">IF(INDIRECT(ADDRESS(ROW('3'!BU$7),COLUMN('3'!BU$6)+ROW(A3)+48,1,1,"3"))="","",INDIRECT(ADDRESS(ROW('3'!BU$7),COLUMN('3'!BU$6)+ROW(A3)+48,1,1,"3")))</f>
        <v>948366.56</v>
      </c>
      <c r="E154" s="150">
        <f ca="1">IF(INDIRECT(ADDRESS(ROW('3'!BU$7),COLUMN('3'!BU$6)+ROW(A3)+60,1,1,"3"))="","",INDIRECT(ADDRESS(ROW('3'!BU$7),COLUMN('3'!BU$6)+ROW(A3)+60,1,1,"3")))</f>
        <v>982712.22600000026</v>
      </c>
      <c r="F154" s="147">
        <f t="shared" ca="1" si="21"/>
        <v>2.1303645669940239</v>
      </c>
      <c r="G154" s="147">
        <f t="shared" ca="1" si="22"/>
        <v>2.1295271706881245</v>
      </c>
      <c r="H154" s="147">
        <f t="shared" ca="1" si="23"/>
        <v>2.3586286523100601</v>
      </c>
      <c r="I154" s="147">
        <f t="shared" ca="1" si="24"/>
        <v>2.3422067774982218</v>
      </c>
      <c r="J154" s="137"/>
    </row>
    <row r="155" spans="1:10">
      <c r="A155" s="146" t="s">
        <v>206</v>
      </c>
      <c r="B155" s="150">
        <f ca="1">IF(INDIRECT(ADDRESS(ROW('3'!BU$7),COLUMN('3'!BU$6)+ROW(A4)+24,1,1,"3"))="","",INDIRECT(ADDRESS(ROW('3'!BU$7),COLUMN('3'!BU$6)+ROW(A4)+24,1,1,"3")))</f>
        <v>957835.15200000023</v>
      </c>
      <c r="C155" s="150">
        <f ca="1">IF(INDIRECT(ADDRESS(ROW('3'!BU$7),COLUMN('3'!BU$6)+ROW(A4)+36,1,1,"3"))="","",INDIRECT(ADDRESS(ROW('3'!BU$7),COLUMN('3'!BU$6)+ROW(A4)+36,1,1,"3")))</f>
        <v>1063867.0010000002</v>
      </c>
      <c r="D155" s="150">
        <f ca="1">IF(INDIRECT(ADDRESS(ROW('3'!BU$7),COLUMN('3'!BU$6)+ROW(A4)+48,1,1,"3"))="","",INDIRECT(ADDRESS(ROW('3'!BU$7),COLUMN('3'!BU$6)+ROW(A4)+48,1,1,"3")))</f>
        <v>1101148.2999999998</v>
      </c>
      <c r="E155" s="150">
        <f ca="1">IF(INDIRECT(ADDRESS(ROW('3'!BU$7),COLUMN('3'!BU$6)+ROW(A4)+60,1,1,"3"))="","",INDIRECT(ADDRESS(ROW('3'!BU$7),COLUMN('3'!BU$6)+ROW(A4)+60,1,1,"3")))</f>
        <v>1155370.0780000002</v>
      </c>
      <c r="F155" s="147">
        <f t="shared" ca="1" si="21"/>
        <v>2.6533068566406768</v>
      </c>
      <c r="G155" s="147">
        <f t="shared" ca="1" si="22"/>
        <v>2.7020621140016043</v>
      </c>
      <c r="H155" s="147">
        <f t="shared" ca="1" si="23"/>
        <v>2.7386034476189391</v>
      </c>
      <c r="I155" s="147">
        <f t="shared" ca="1" si="24"/>
        <v>2.7537213393845059</v>
      </c>
      <c r="J155" s="137"/>
    </row>
    <row r="156" spans="1:10">
      <c r="A156" s="146" t="s">
        <v>207</v>
      </c>
      <c r="B156" s="150">
        <f ca="1">IF(INDIRECT(ADDRESS(ROW('3'!BU$7),COLUMN('3'!BU$6)+ROW(A5)+24,1,1,"3"))="","",INDIRECT(ADDRESS(ROW('3'!BU$7),COLUMN('3'!BU$6)+ROW(A5)+24,1,1,"3")))</f>
        <v>978678.55900000036</v>
      </c>
      <c r="C156" s="150">
        <f ca="1">IF(INDIRECT(ADDRESS(ROW('3'!BU$7),COLUMN('3'!BU$6)+ROW(A5)+36,1,1,"3"))="","",INDIRECT(ADDRESS(ROW('3'!BU$7),COLUMN('3'!BU$6)+ROW(A5)+36,1,1,"3")))</f>
        <v>1071795.2409999999</v>
      </c>
      <c r="D156" s="150">
        <f ca="1">IF(INDIRECT(ADDRESS(ROW('3'!BU$7),COLUMN('3'!BU$6)+ROW(A5)+48,1,1,"3"))="","",INDIRECT(ADDRESS(ROW('3'!BU$7),COLUMN('3'!BU$6)+ROW(A5)+48,1,1,"3")))</f>
        <v>1184611.6260000002</v>
      </c>
      <c r="E156" s="150" t="str">
        <f ca="1">IF(INDIRECT(ADDRESS(ROW('3'!BU$7),COLUMN('3'!BU$6)+ROW(A5)+60,1,1,"3"))="","",INDIRECT(ADDRESS(ROW('3'!BU$7),COLUMN('3'!BU$6)+ROW(A5)+60,1,1,"3")))</f>
        <v/>
      </c>
      <c r="F156" s="147">
        <f t="shared" ca="1" si="21"/>
        <v>2.7110453459761072</v>
      </c>
      <c r="G156" s="147">
        <f t="shared" ca="1" si="22"/>
        <v>2.7221986507252502</v>
      </c>
      <c r="H156" s="147">
        <f t="shared" ca="1" si="23"/>
        <v>2.9461803492345928</v>
      </c>
      <c r="I156" s="147" t="str">
        <f t="shared" ca="1" si="24"/>
        <v/>
      </c>
      <c r="J156" s="137"/>
    </row>
    <row r="157" spans="1:10">
      <c r="A157" s="146" t="s">
        <v>208</v>
      </c>
      <c r="B157" s="150">
        <f ca="1">IF(INDIRECT(ADDRESS(ROW('3'!BU$7),COLUMN('3'!BU$6)+ROW(A6)+24,1,1,"3"))="","",INDIRECT(ADDRESS(ROW('3'!BU$7),COLUMN('3'!BU$6)+ROW(A6)+24,1,1,"3")))</f>
        <v>888916.23299999908</v>
      </c>
      <c r="C157" s="150">
        <f ca="1">IF(INDIRECT(ADDRESS(ROW('3'!BU$7),COLUMN('3'!BU$6)+ROW(A6)+36,1,1,"3"))="","",INDIRECT(ADDRESS(ROW('3'!BU$7),COLUMN('3'!BU$6)+ROW(A6)+36,1,1,"3")))</f>
        <v>1023214.676</v>
      </c>
      <c r="D157" s="150">
        <f ca="1">IF(INDIRECT(ADDRESS(ROW('3'!BU$7),COLUMN('3'!BU$6)+ROW(A6)+48,1,1,"3"))="","",INDIRECT(ADDRESS(ROW('3'!BU$7),COLUMN('3'!BU$6)+ROW(A6)+48,1,1,"3")))</f>
        <v>1175606.6299999999</v>
      </c>
      <c r="E157" s="150" t="str">
        <f ca="1">IF(INDIRECT(ADDRESS(ROW('3'!BU$7),COLUMN('3'!BU$6)+ROW(A6)+60,1,1,"3"))="","",INDIRECT(ADDRESS(ROW('3'!BU$7),COLUMN('3'!BU$6)+ROW(A6)+60,1,1,"3")))</f>
        <v/>
      </c>
      <c r="F157" s="147">
        <f t="shared" ca="1" si="21"/>
        <v>2.4623940049321749</v>
      </c>
      <c r="G157" s="147">
        <f t="shared" ca="1" si="22"/>
        <v>2.5988113250163929</v>
      </c>
      <c r="H157" s="147">
        <f t="shared" ca="1" si="23"/>
        <v>2.9237845347095237</v>
      </c>
      <c r="I157" s="147" t="str">
        <f t="shared" ca="1" si="24"/>
        <v/>
      </c>
      <c r="J157" s="137"/>
    </row>
    <row r="158" spans="1:10">
      <c r="A158" s="146" t="s">
        <v>209</v>
      </c>
      <c r="B158" s="150">
        <f ca="1">IF(INDIRECT(ADDRESS(ROW('3'!BU$7),COLUMN('3'!BU$6)+ROW(A7)+24,1,1,"3"))="","",INDIRECT(ADDRESS(ROW('3'!BU$7),COLUMN('3'!BU$6)+ROW(A7)+24,1,1,"3")))</f>
        <v>1027456.8880000003</v>
      </c>
      <c r="C158" s="150">
        <f ca="1">IF(INDIRECT(ADDRESS(ROW('3'!BU$7),COLUMN('3'!BU$6)+ROW(A7)+36,1,1,"3"))="","",INDIRECT(ADDRESS(ROW('3'!BU$7),COLUMN('3'!BU$6)+ROW(A7)+36,1,1,"3")))</f>
        <v>1108668.1310000001</v>
      </c>
      <c r="D158" s="150">
        <f ca="1">IF(INDIRECT(ADDRESS(ROW('3'!BU$7),COLUMN('3'!BU$6)+ROW(A7)+48,1,1,"3"))="","",INDIRECT(ADDRESS(ROW('3'!BU$7),COLUMN('3'!BU$6)+ROW(A7)+48,1,1,"3")))</f>
        <v>1168928.6660000002</v>
      </c>
      <c r="E158" s="150" t="str">
        <f ca="1">IF(INDIRECT(ADDRESS(ROW('3'!BU$7),COLUMN('3'!BU$6)+ROW(A7)+60,1,1,"3"))="","",INDIRECT(ADDRESS(ROW('3'!BU$7),COLUMN('3'!BU$6)+ROW(A7)+60,1,1,"3")))</f>
        <v/>
      </c>
      <c r="F158" s="147">
        <f t="shared" ca="1" si="21"/>
        <v>2.8461665873723248</v>
      </c>
      <c r="G158" s="147">
        <f t="shared" ca="1" si="22"/>
        <v>2.8158502434610879</v>
      </c>
      <c r="H158" s="147">
        <f t="shared" ca="1" si="23"/>
        <v>2.9071761494143962</v>
      </c>
      <c r="I158" s="147" t="str">
        <f t="shared" ca="1" si="24"/>
        <v/>
      </c>
      <c r="J158" s="137"/>
    </row>
    <row r="159" spans="1:10">
      <c r="A159" s="146" t="s">
        <v>210</v>
      </c>
      <c r="B159" s="150">
        <f ca="1">IF(INDIRECT(ADDRESS(ROW('3'!BU$7),COLUMN('3'!BU$6)+ROW(A8)+24,1,1,"3"))="","",INDIRECT(ADDRESS(ROW('3'!BU$7),COLUMN('3'!BU$6)+ROW(A8)+24,1,1,"3")))</f>
        <v>969994.08100000024</v>
      </c>
      <c r="C159" s="150">
        <f ca="1">IF(INDIRECT(ADDRESS(ROW('3'!BU$7),COLUMN('3'!BU$6)+ROW(A8)+36,1,1,"3"))="","",INDIRECT(ADDRESS(ROW('3'!BU$7),COLUMN('3'!BU$6)+ROW(A8)+36,1,1,"3")))</f>
        <v>1074853.3080000002</v>
      </c>
      <c r="D159" s="150">
        <f ca="1">IF(INDIRECT(ADDRESS(ROW('3'!BU$7),COLUMN('3'!BU$6)+ROW(A8)+48,1,1,"3"))="","",INDIRECT(ADDRESS(ROW('3'!BU$7),COLUMN('3'!BU$6)+ROW(A8)+48,1,1,"3")))</f>
        <v>1163803.9859999996</v>
      </c>
      <c r="E159" s="150" t="str">
        <f ca="1">IF(INDIRECT(ADDRESS(ROW('3'!BU$7),COLUMN('3'!BU$6)+ROW(A8)+60,1,1,"3"))="","",INDIRECT(ADDRESS(ROW('3'!BU$7),COLUMN('3'!BU$6)+ROW(A8)+60,1,1,"3")))</f>
        <v/>
      </c>
      <c r="F159" s="147">
        <f t="shared" ca="1" si="21"/>
        <v>2.6869884036352132</v>
      </c>
      <c r="G159" s="147">
        <f t="shared" ca="1" si="22"/>
        <v>2.7299656807910497</v>
      </c>
      <c r="H159" s="147">
        <f t="shared" ca="1" si="23"/>
        <v>2.8944308486080055</v>
      </c>
      <c r="I159" s="147" t="str">
        <f t="shared" ca="1" si="24"/>
        <v/>
      </c>
      <c r="J159" s="137"/>
    </row>
    <row r="160" spans="1:10">
      <c r="A160" s="146" t="s">
        <v>211</v>
      </c>
      <c r="B160" s="150">
        <f ca="1">IF(INDIRECT(ADDRESS(ROW('3'!BU$7),COLUMN('3'!BU$6)+ROW(A9)+24,1,1,"3"))="","",INDIRECT(ADDRESS(ROW('3'!BU$7),COLUMN('3'!BU$6)+ROW(A9)+24,1,1,"3")))</f>
        <v>985435.90399999917</v>
      </c>
      <c r="C160" s="150">
        <f ca="1">IF(INDIRECT(ADDRESS(ROW('3'!BU$7),COLUMN('3'!BU$6)+ROW(A9)+36,1,1,"3"))="","",INDIRECT(ADDRESS(ROW('3'!BU$7),COLUMN('3'!BU$6)+ROW(A9)+36,1,1,"3")))</f>
        <v>1074818.7690000003</v>
      </c>
      <c r="D160" s="150">
        <f ca="1">IF(INDIRECT(ADDRESS(ROW('3'!BU$7),COLUMN('3'!BU$6)+ROW(A9)+48,1,1,"3"))="","",INDIRECT(ADDRESS(ROW('3'!BU$7),COLUMN('3'!BU$6)+ROW(A9)+48,1,1,"3")))</f>
        <v>1144495.5980000012</v>
      </c>
      <c r="E160" s="150" t="str">
        <f ca="1">IF(INDIRECT(ADDRESS(ROW('3'!BU$7),COLUMN('3'!BU$6)+ROW(A9)+60,1,1,"3"))="","",INDIRECT(ADDRESS(ROW('3'!BU$7),COLUMN('3'!BU$6)+ROW(A9)+60,1,1,"3")))</f>
        <v/>
      </c>
      <c r="F160" s="147">
        <f t="shared" ca="1" si="21"/>
        <v>2.7297639216973537</v>
      </c>
      <c r="G160" s="147">
        <f t="shared" ca="1" si="22"/>
        <v>2.7298779569277594</v>
      </c>
      <c r="H160" s="147">
        <f t="shared" ca="1" si="23"/>
        <v>2.8464100525492371</v>
      </c>
      <c r="I160" s="147" t="str">
        <f t="shared" ca="1" si="24"/>
        <v/>
      </c>
      <c r="J160" s="137"/>
    </row>
    <row r="161" spans="1:10">
      <c r="A161" s="146" t="s">
        <v>212</v>
      </c>
      <c r="B161" s="150">
        <f ca="1">IF(INDIRECT(ADDRESS(ROW('3'!BU$7),COLUMN('3'!BU$6)+ROW(A10)+24,1,1,"3"))="","",INDIRECT(ADDRESS(ROW('3'!BU$7),COLUMN('3'!BU$6)+ROW(A10)+24,1,1,"3")))</f>
        <v>1021662.5140000004</v>
      </c>
      <c r="C161" s="150">
        <f ca="1">IF(INDIRECT(ADDRESS(ROW('3'!BU$7),COLUMN('3'!BU$6)+ROW(A10)+36,1,1,"3"))="","",INDIRECT(ADDRESS(ROW('3'!BU$7),COLUMN('3'!BU$6)+ROW(A10)+36,1,1,"3")))</f>
        <v>1092402.0949999988</v>
      </c>
      <c r="D161" s="150">
        <f ca="1">IF(INDIRECT(ADDRESS(ROW('3'!BU$7),COLUMN('3'!BU$6)+ROW(A10)+48,1,1,"3"))="","",INDIRECT(ADDRESS(ROW('3'!BU$7),COLUMN('3'!BU$6)+ROW(A10)+48,1,1,"3")))</f>
        <v>1143525.4899999984</v>
      </c>
      <c r="E161" s="150" t="str">
        <f ca="1">IF(INDIRECT(ADDRESS(ROW('3'!BU$7),COLUMN('3'!BU$6)+ROW(A10)+60,1,1,"3"))="","",INDIRECT(ADDRESS(ROW('3'!BU$7),COLUMN('3'!BU$6)+ROW(A10)+60,1,1,"3")))</f>
        <v/>
      </c>
      <c r="F161" s="147">
        <f t="shared" ca="1" si="21"/>
        <v>2.8301155453615592</v>
      </c>
      <c r="G161" s="147">
        <f t="shared" ca="1" si="22"/>
        <v>2.7745369593952445</v>
      </c>
      <c r="H161" s="147">
        <f t="shared" ca="1" si="23"/>
        <v>2.8439973519953061</v>
      </c>
      <c r="I161" s="147" t="str">
        <f t="shared" ca="1" si="24"/>
        <v/>
      </c>
      <c r="J161" s="137"/>
    </row>
    <row r="162" spans="1:10">
      <c r="A162" s="146" t="s">
        <v>213</v>
      </c>
      <c r="B162" s="150">
        <f ca="1">IF(INDIRECT(ADDRESS(ROW('3'!BU$7),COLUMN('3'!BU$6)+ROW(A11)+24,1,1,"3"))="","",INDIRECT(ADDRESS(ROW('3'!BU$7),COLUMN('3'!BU$6)+ROW(A11)+24,1,1,"3")))</f>
        <v>1038227.6740000006</v>
      </c>
      <c r="C162" s="150">
        <f ca="1">IF(INDIRECT(ADDRESS(ROW('3'!BU$7),COLUMN('3'!BU$6)+ROW(A11)+36,1,1,"3"))="","",INDIRECT(ADDRESS(ROW('3'!BU$7),COLUMN('3'!BU$6)+ROW(A11)+36,1,1,"3")))</f>
        <v>1019073.949000001</v>
      </c>
      <c r="D162" s="150">
        <f ca="1">IF(INDIRECT(ADDRESS(ROW('3'!BU$7),COLUMN('3'!BU$6)+ROW(A11)+48,1,1,"3"))="","",INDIRECT(ADDRESS(ROW('3'!BU$7),COLUMN('3'!BU$6)+ROW(A11)+48,1,1,"3")))</f>
        <v>1134290.6260000002</v>
      </c>
      <c r="E162" s="150" t="str">
        <f ca="1">IF(INDIRECT(ADDRESS(ROW('3'!BU$7),COLUMN('3'!BU$6)+ROW(A11)+60,1,1,"3"))="","",INDIRECT(ADDRESS(ROW('3'!BU$7),COLUMN('3'!BU$6)+ROW(A11)+60,1,1,"3")))</f>
        <v/>
      </c>
      <c r="F162" s="147">
        <f t="shared" ca="1" si="21"/>
        <v>2.8760028282803116</v>
      </c>
      <c r="G162" s="147">
        <f t="shared" ca="1" si="22"/>
        <v>2.5882945014467134</v>
      </c>
      <c r="H162" s="147">
        <f t="shared" ca="1" si="23"/>
        <v>2.821029845812272</v>
      </c>
      <c r="I162" s="147" t="str">
        <f t="shared" ca="1" si="24"/>
        <v/>
      </c>
      <c r="J162" s="137"/>
    </row>
    <row r="163" spans="1:10">
      <c r="A163" s="146" t="s">
        <v>214</v>
      </c>
      <c r="B163" s="150">
        <f ca="1">IF(INDIRECT(ADDRESS(ROW('3'!BU$7),COLUMN('3'!BU$6)+ROW(A12)+24,1,1,"3"))="","",INDIRECT(ADDRESS(ROW('3'!BU$7),COLUMN('3'!BU$6)+ROW(A12)+24,1,1,"3")))</f>
        <v>1107409.0789999999</v>
      </c>
      <c r="C163" s="150">
        <f ca="1">IF(INDIRECT(ADDRESS(ROW('3'!BU$7),COLUMN('3'!BU$6)+ROW(A12)+36,1,1,"3"))="","",INDIRECT(ADDRESS(ROW('3'!BU$7),COLUMN('3'!BU$6)+ROW(A12)+36,1,1,"3")))</f>
        <v>1172609.2300000004</v>
      </c>
      <c r="D163" s="150">
        <f ca="1">IF(INDIRECT(ADDRESS(ROW('3'!BU$7),COLUMN('3'!BU$6)+ROW(A12)+48,1,1,"3"))="","",INDIRECT(ADDRESS(ROW('3'!BU$7),COLUMN('3'!BU$6)+ROW(A12)+48,1,1,"3")))</f>
        <v>1313998.17</v>
      </c>
      <c r="E163" s="150" t="str">
        <f ca="1">IF(INDIRECT(ADDRESS(ROW('3'!BU$7),COLUMN('3'!BU$6)+ROW(A12)+60,1,1,"3"))="","",INDIRECT(ADDRESS(ROW('3'!BU$7),COLUMN('3'!BU$6)+ROW(A12)+60,1,1,"3")))</f>
        <v/>
      </c>
      <c r="F163" s="147">
        <f t="shared" ca="1" si="21"/>
        <v>3.0676427945680951</v>
      </c>
      <c r="G163" s="147">
        <f t="shared" ca="1" si="22"/>
        <v>2.978251014396859</v>
      </c>
      <c r="H163" s="147">
        <f t="shared" ca="1" si="23"/>
        <v>3.2679702802310797</v>
      </c>
      <c r="I163" s="147" t="str">
        <f t="shared" ca="1" si="24"/>
        <v/>
      </c>
      <c r="J163" s="137"/>
    </row>
    <row r="164" spans="1:10">
      <c r="A164" s="159" t="s">
        <v>215</v>
      </c>
      <c r="B164" s="150">
        <f t="shared" ref="B164:I164" ca="1" si="25">SUM(B152:B163)</f>
        <v>11557277.694</v>
      </c>
      <c r="C164" s="150">
        <f t="shared" ca="1" si="25"/>
        <v>12600415.595000001</v>
      </c>
      <c r="D164" s="150">
        <f t="shared" ca="1" si="25"/>
        <v>13583513.608999999</v>
      </c>
      <c r="E164" s="150">
        <f t="shared" ca="1" si="25"/>
        <v>4410726.5360000003</v>
      </c>
      <c r="F164" s="147">
        <f t="shared" ca="1" si="25"/>
        <v>32.014907873824349</v>
      </c>
      <c r="G164" s="147">
        <f t="shared" ca="1" si="25"/>
        <v>32.00315976331752</v>
      </c>
      <c r="H164" s="147">
        <f t="shared" ca="1" si="25"/>
        <v>33.782785843093237</v>
      </c>
      <c r="I164" s="147">
        <f t="shared" ca="1" si="25"/>
        <v>10.512572564972295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339" t="s">
        <v>104</v>
      </c>
      <c r="B220" s="340"/>
      <c r="C220" s="340"/>
      <c r="D220" s="340"/>
      <c r="E220" s="340"/>
      <c r="F220" s="340"/>
      <c r="G220" s="340"/>
      <c r="H220" s="340"/>
      <c r="I220" s="340"/>
      <c r="J220" s="341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2023</v>
      </c>
      <c r="C224" s="158">
        <v>2024</v>
      </c>
      <c r="D224" s="158">
        <v>2025</v>
      </c>
      <c r="E224" s="158">
        <v>2023</v>
      </c>
      <c r="F224" s="158">
        <v>2024</v>
      </c>
      <c r="G224" s="158">
        <v>2025</v>
      </c>
      <c r="H224" s="158">
        <v>2023</v>
      </c>
      <c r="I224" s="158">
        <v>2024</v>
      </c>
      <c r="J224" s="158">
        <v>2025</v>
      </c>
    </row>
    <row r="225" spans="1:10">
      <c r="A225" s="146" t="s">
        <v>203</v>
      </c>
      <c r="B225" s="150">
        <f ca="1">IF(INDIRECT(ADDRESS(ROW('3'!BU$24),COLUMN('3'!BU$6)+ROW(A1)+36,1,1,"3"))="","",INDIRECT(ADDRESS(ROW('3'!BU$24),COLUMN('3'!BU$6)+ROW(A1)+36,1,1,"3")))</f>
        <v>719939.35</v>
      </c>
      <c r="C225" s="150">
        <f ca="1">IF(INDIRECT(ADDRESS(ROW('3'!BU$24),COLUMN('3'!BU$6)+ROW(A1)+48,1,1,"3"))="","",INDIRECT(ADDRESS(ROW('3'!BU$24),COLUMN('3'!BU$6)+ROW(A1)+48,1,1,"3")))</f>
        <v>921874.01300000004</v>
      </c>
      <c r="D225" s="150">
        <f ca="1">IF(INDIRECT(ADDRESS(ROW('3'!BU$24),COLUMN('3'!BU$6)+ROW(A1)+60,1,1,"3"))="","",INDIRECT(ADDRESS(ROW('3'!BU$24),COLUMN('3'!BU$6)+ROW(A1)+60,1,1,"3")))</f>
        <v>821224.52960000001</v>
      </c>
      <c r="E225" s="150">
        <f ca="1">IF(INDIRECT(ADDRESS(ROW('3'!BU$25),COLUMN('3'!BU$6)+ROW(A1)+36,1,1,"3"))="","",INDIRECT(ADDRESS(ROW('3'!BU$25),COLUMN('3'!BU$6)+ROW(A1)+36,1,1,"3")))</f>
        <v>614585.63199999998</v>
      </c>
      <c r="F225" s="150">
        <f ca="1">IF(INDIRECT(ADDRESS(ROW('3'!BU$25),COLUMN('3'!BU$6)+ROW(A1)+48,1,1,"3"))="","",INDIRECT(ADDRESS(ROW('3'!BU$25),COLUMN('3'!BU$6)+ROW(A1)+48,1,1,"3")))</f>
        <v>809894.40800000005</v>
      </c>
      <c r="G225" s="150">
        <f ca="1">IF(INDIRECT(ADDRESS(ROW('3'!BU$25),COLUMN('3'!BU$6)+ROW(A1)+60,1,1,"3"))="","",INDIRECT(ADDRESS(ROW('3'!BU$25),COLUMN('3'!BU$6)+ROW(A1)+60,1,1,"3")))</f>
        <v>947223.47174000007</v>
      </c>
      <c r="H225" s="150">
        <f ca="1">IFERROR(B225-E225,"")</f>
        <v>105353.71799999999</v>
      </c>
      <c r="I225" s="150">
        <f ca="1">IFERROR(C225-F225,"")</f>
        <v>111979.60499999998</v>
      </c>
      <c r="J225" s="150">
        <f ca="1">IFERROR(D225-G225,"")</f>
        <v>-125998.94214000006</v>
      </c>
    </row>
    <row r="226" spans="1:10">
      <c r="A226" s="146" t="s">
        <v>204</v>
      </c>
      <c r="B226" s="150">
        <f ca="1">IF(INDIRECT(ADDRESS(ROW('3'!BU$24),COLUMN('3'!BU$6)+ROW(A2)+36,1,1,"3"))="","",INDIRECT(ADDRESS(ROW('3'!BU$24),COLUMN('3'!BU$6)+ROW(A2)+36,1,1,"3")))</f>
        <v>791517.95499999996</v>
      </c>
      <c r="C226" s="150">
        <f ca="1">IF(INDIRECT(ADDRESS(ROW('3'!BU$24),COLUMN('3'!BU$6)+ROW(A2)+48,1,1,"3"))="","",INDIRECT(ADDRESS(ROW('3'!BU$24),COLUMN('3'!BU$6)+ROW(A2)+48,1,1,"3")))</f>
        <v>745501.69200000004</v>
      </c>
      <c r="D226" s="150">
        <f ca="1">IF(INDIRECT(ADDRESS(ROW('3'!BU$24),COLUMN('3'!BU$6)+ROW(A2)+60,1,1,"3"))="","",INDIRECT(ADDRESS(ROW('3'!BU$24),COLUMN('3'!BU$6)+ROW(A2)+60,1,1,"3")))</f>
        <v>845118.13847999997</v>
      </c>
      <c r="E226" s="150">
        <f ca="1">IF(INDIRECT(ADDRESS(ROW('3'!BU$25),COLUMN('3'!BU$6)+ROW(A2)+36,1,1,"3"))="","",INDIRECT(ADDRESS(ROW('3'!BU$25),COLUMN('3'!BU$6)+ROW(A2)+36,1,1,"3")))</f>
        <v>903091.85199999996</v>
      </c>
      <c r="F226" s="150">
        <f ca="1">IF(INDIRECT(ADDRESS(ROW('3'!BU$25),COLUMN('3'!BU$6)+ROW(A2)+48,1,1,"3"))="","",INDIRECT(ADDRESS(ROW('3'!BU$25),COLUMN('3'!BU$6)+ROW(A2)+48,1,1,"3")))</f>
        <v>879752.527</v>
      </c>
      <c r="G226" s="150">
        <f ca="1">IF(INDIRECT(ADDRESS(ROW('3'!BU$25),COLUMN('3'!BU$6)+ROW(A2)+60,1,1,"3"))="","",INDIRECT(ADDRESS(ROW('3'!BU$25),COLUMN('3'!BU$6)+ROW(A2)+60,1,1,"3")))</f>
        <v>992197.92921999993</v>
      </c>
      <c r="H226" s="150">
        <f t="shared" ref="H226:H236" ca="1" si="26">IFERROR(B226-E226,"")</f>
        <v>-111573.897</v>
      </c>
      <c r="I226" s="150">
        <f t="shared" ref="I226:I236" ca="1" si="27">IFERROR(C226-F226,"")</f>
        <v>-134250.83499999996</v>
      </c>
      <c r="J226" s="150">
        <f t="shared" ref="J226:J236" ca="1" si="28">IFERROR(D226-G226,"")</f>
        <v>-147079.79073999997</v>
      </c>
    </row>
    <row r="227" spans="1:10">
      <c r="A227" s="146" t="s">
        <v>205</v>
      </c>
      <c r="B227" s="150">
        <f ca="1">IF(INDIRECT(ADDRESS(ROW('3'!BU$24),COLUMN('3'!BU$6)+ROW(A3)+36,1,1,"3"))="","",INDIRECT(ADDRESS(ROW('3'!BU$24),COLUMN('3'!BU$6)+ROW(A3)+36,1,1,"3")))</f>
        <v>533224.21400000015</v>
      </c>
      <c r="C227" s="150">
        <f ca="1">IF(INDIRECT(ADDRESS(ROW('3'!BU$24),COLUMN('3'!BU$6)+ROW(A3)+48,1,1,"3"))="","",INDIRECT(ADDRESS(ROW('3'!BU$24),COLUMN('3'!BU$6)+ROW(A3)+48,1,1,"3")))</f>
        <v>701863.54900000012</v>
      </c>
      <c r="D227" s="150">
        <f ca="1">IF(INDIRECT(ADDRESS(ROW('3'!BU$24),COLUMN('3'!BU$6)+ROW(A3)+60,1,1,"3"))="","",INDIRECT(ADDRESS(ROW('3'!BU$24),COLUMN('3'!BU$6)+ROW(A3)+60,1,1,"3")))</f>
        <v>541443.01641000039</v>
      </c>
      <c r="E227" s="150">
        <f ca="1">IF(INDIRECT(ADDRESS(ROW('3'!BU$25),COLUMN('3'!BU$6)+ROW(A3)+36,1,1,"3"))="","",INDIRECT(ADDRESS(ROW('3'!BU$25),COLUMN('3'!BU$6)+ROW(A3)+36,1,1,"3")))</f>
        <v>801670.58800000022</v>
      </c>
      <c r="F227" s="150">
        <f ca="1">IF(INDIRECT(ADDRESS(ROW('3'!BU$25),COLUMN('3'!BU$6)+ROW(A3)+48,1,1,"3"))="","",INDIRECT(ADDRESS(ROW('3'!BU$25),COLUMN('3'!BU$6)+ROW(A3)+48,1,1,"3")))</f>
        <v>805671.92599999998</v>
      </c>
      <c r="G227" s="150">
        <f ca="1">IF(INDIRECT(ADDRESS(ROW('3'!BU$25),COLUMN('3'!BU$6)+ROW(A3)+60,1,1,"3"))="","",INDIRECT(ADDRESS(ROW('3'!BU$25),COLUMN('3'!BU$6)+ROW(A3)+60,1,1,"3")))</f>
        <v>1035654.5327599996</v>
      </c>
      <c r="H227" s="150">
        <f t="shared" ca="1" si="26"/>
        <v>-268446.37400000007</v>
      </c>
      <c r="I227" s="150">
        <f t="shared" ca="1" si="27"/>
        <v>-103808.37699999986</v>
      </c>
      <c r="J227" s="150">
        <f t="shared" ca="1" si="28"/>
        <v>-494211.51634999923</v>
      </c>
    </row>
    <row r="228" spans="1:10">
      <c r="A228" s="146" t="s">
        <v>206</v>
      </c>
      <c r="B228" s="150">
        <f ca="1">IF(INDIRECT(ADDRESS(ROW('3'!BU$24),COLUMN('3'!BU$6)+ROW(A4)+36,1,1,"3"))="","",INDIRECT(ADDRESS(ROW('3'!BU$24),COLUMN('3'!BU$6)+ROW(A4)+36,1,1,"3")))</f>
        <v>895993.7359999998</v>
      </c>
      <c r="C228" s="150">
        <f ca="1">IF(INDIRECT(ADDRESS(ROW('3'!BU$24),COLUMN('3'!BU$6)+ROW(A4)+48,1,1,"3"))="","",INDIRECT(ADDRESS(ROW('3'!BU$24),COLUMN('3'!BU$6)+ROW(A4)+48,1,1,"3")))</f>
        <v>828734.15099999961</v>
      </c>
      <c r="D228" s="150">
        <f ca="1">IF(INDIRECT(ADDRESS(ROW('3'!BU$24),COLUMN('3'!BU$6)+ROW(A4)+60,1,1,"3"))="","",INDIRECT(ADDRESS(ROW('3'!BU$24),COLUMN('3'!BU$6)+ROW(A4)+60,1,1,"3")))</f>
        <v>810168.96401999984</v>
      </c>
      <c r="E228" s="150">
        <f ca="1">IF(INDIRECT(ADDRESS(ROW('3'!BU$25),COLUMN('3'!BU$6)+ROW(A4)+36,1,1,"3"))="","",INDIRECT(ADDRESS(ROW('3'!BU$25),COLUMN('3'!BU$6)+ROW(A4)+36,1,1,"3")))</f>
        <v>815830.90100000007</v>
      </c>
      <c r="F228" s="150">
        <f ca="1">IF(INDIRECT(ADDRESS(ROW('3'!BU$25),COLUMN('3'!BU$6)+ROW(A4)+48,1,1,"3"))="","",INDIRECT(ADDRESS(ROW('3'!BU$25),COLUMN('3'!BU$6)+ROW(A4)+48,1,1,"3")))</f>
        <v>1076388.2510000002</v>
      </c>
      <c r="G228" s="150">
        <f ca="1">IF(INDIRECT(ADDRESS(ROW('3'!BU$25),COLUMN('3'!BU$6)+ROW(A4)+60,1,1,"3"))="","",INDIRECT(ADDRESS(ROW('3'!BU$25),COLUMN('3'!BU$6)+ROW(A4)+60,1,1,"3")))</f>
        <v>1028097.9180900003</v>
      </c>
      <c r="H228" s="150">
        <f t="shared" ca="1" si="26"/>
        <v>80162.83499999973</v>
      </c>
      <c r="I228" s="150">
        <f t="shared" ca="1" si="27"/>
        <v>-247654.10000000056</v>
      </c>
      <c r="J228" s="150">
        <f t="shared" ca="1" si="28"/>
        <v>-217928.95407000044</v>
      </c>
    </row>
    <row r="229" spans="1:10">
      <c r="A229" s="146" t="s">
        <v>207</v>
      </c>
      <c r="B229" s="150">
        <f ca="1">IF(INDIRECT(ADDRESS(ROW('3'!BU$24),COLUMN('3'!BU$6)+ROW(A5)+36,1,1,"3"))="","",INDIRECT(ADDRESS(ROW('3'!BU$24),COLUMN('3'!BU$6)+ROW(A5)+36,1,1,"3")))</f>
        <v>845157.91200000001</v>
      </c>
      <c r="C229" s="150">
        <f ca="1">IF(INDIRECT(ADDRESS(ROW('3'!BU$24),COLUMN('3'!BU$6)+ROW(A5)+48,1,1,"3"))="","",INDIRECT(ADDRESS(ROW('3'!BU$24),COLUMN('3'!BU$6)+ROW(A5)+48,1,1,"3")))</f>
        <v>1112888.0019999999</v>
      </c>
      <c r="D229" s="150" t="str">
        <f ca="1">IF(INDIRECT(ADDRESS(ROW('3'!BU$24),COLUMN('3'!BU$6)+ROW(A5)+60,1,1,"3"))="","",INDIRECT(ADDRESS(ROW('3'!BU$24),COLUMN('3'!BU$6)+ROW(A5)+60,1,1,"3")))</f>
        <v/>
      </c>
      <c r="E229" s="150">
        <f ca="1">IF(INDIRECT(ADDRESS(ROW('3'!BU$25),COLUMN('3'!BU$6)+ROW(A5)+36,1,1,"3"))="","",INDIRECT(ADDRESS(ROW('3'!BU$25),COLUMN('3'!BU$6)+ROW(A5)+36,1,1,"3")))</f>
        <v>775435.19699999969</v>
      </c>
      <c r="F229" s="150">
        <f ca="1">IF(INDIRECT(ADDRESS(ROW('3'!BU$25),COLUMN('3'!BU$6)+ROW(A5)+48,1,1,"3"))="","",INDIRECT(ADDRESS(ROW('3'!BU$25),COLUMN('3'!BU$6)+ROW(A5)+48,1,1,"3")))</f>
        <v>783793.17400000012</v>
      </c>
      <c r="G229" s="150" t="str">
        <f ca="1">IF(INDIRECT(ADDRESS(ROW('3'!BU$25),COLUMN('3'!BU$6)+ROW(A5)+60,1,1,"3"))="","",INDIRECT(ADDRESS(ROW('3'!BU$25),COLUMN('3'!BU$6)+ROW(A5)+60,1,1,"3")))</f>
        <v/>
      </c>
      <c r="H229" s="150">
        <f t="shared" ca="1" si="26"/>
        <v>69722.715000000317</v>
      </c>
      <c r="I229" s="150">
        <f t="shared" ca="1" si="27"/>
        <v>329094.82799999975</v>
      </c>
      <c r="J229" s="150" t="str">
        <f t="shared" ca="1" si="28"/>
        <v/>
      </c>
    </row>
    <row r="230" spans="1:10">
      <c r="A230" s="146" t="s">
        <v>208</v>
      </c>
      <c r="B230" s="150">
        <f ca="1">IF(INDIRECT(ADDRESS(ROW('3'!BU$24),COLUMN('3'!BU$6)+ROW(A6)+36,1,1,"3"))="","",INDIRECT(ADDRESS(ROW('3'!BU$24),COLUMN('3'!BU$6)+ROW(A6)+36,1,1,"3")))</f>
        <v>760374.0129999998</v>
      </c>
      <c r="C230" s="150">
        <f ca="1">IF(INDIRECT(ADDRESS(ROW('3'!BU$24),COLUMN('3'!BU$6)+ROW(A6)+48,1,1,"3"))="","",INDIRECT(ADDRESS(ROW('3'!BU$24),COLUMN('3'!BU$6)+ROW(A6)+48,1,1,"3")))</f>
        <v>1214401.3590000002</v>
      </c>
      <c r="D230" s="150" t="str">
        <f ca="1">IF(INDIRECT(ADDRESS(ROW('3'!BU$24),COLUMN('3'!BU$6)+ROW(A6)+60,1,1,"3"))="","",INDIRECT(ADDRESS(ROW('3'!BU$24),COLUMN('3'!BU$6)+ROW(A6)+60,1,1,"3")))</f>
        <v/>
      </c>
      <c r="E230" s="150">
        <f ca="1">IF(INDIRECT(ADDRESS(ROW('3'!BU$25),COLUMN('3'!BU$6)+ROW(A6)+36,1,1,"3"))="","",INDIRECT(ADDRESS(ROW('3'!BU$25),COLUMN('3'!BU$6)+ROW(A6)+36,1,1,"3")))</f>
        <v>872192.84400000051</v>
      </c>
      <c r="F230" s="150">
        <f ca="1">IF(INDIRECT(ADDRESS(ROW('3'!BU$25),COLUMN('3'!BU$6)+ROW(A6)+48,1,1,"3"))="","",INDIRECT(ADDRESS(ROW('3'!BU$25),COLUMN('3'!BU$6)+ROW(A6)+48,1,1,"3")))</f>
        <v>913333.06599999964</v>
      </c>
      <c r="G230" s="150" t="str">
        <f ca="1">IF(INDIRECT(ADDRESS(ROW('3'!BU$25),COLUMN('3'!BU$6)+ROW(A6)+60,1,1,"3"))="","",INDIRECT(ADDRESS(ROW('3'!BU$25),COLUMN('3'!BU$6)+ROW(A6)+60,1,1,"3")))</f>
        <v/>
      </c>
      <c r="H230" s="150">
        <f t="shared" ca="1" si="26"/>
        <v>-111818.8310000007</v>
      </c>
      <c r="I230" s="150">
        <f t="shared" ca="1" si="27"/>
        <v>301068.29300000053</v>
      </c>
      <c r="J230" s="150" t="str">
        <f t="shared" ca="1" si="28"/>
        <v/>
      </c>
    </row>
    <row r="231" spans="1:10">
      <c r="A231" s="146" t="s">
        <v>209</v>
      </c>
      <c r="B231" s="150">
        <f ca="1">IF(INDIRECT(ADDRESS(ROW('3'!BU$24),COLUMN('3'!BU$6)+ROW(A7)+36,1,1,"3"))="","",INDIRECT(ADDRESS(ROW('3'!BU$24),COLUMN('3'!BU$6)+ROW(A7)+36,1,1,"3")))</f>
        <v>871539.88400000054</v>
      </c>
      <c r="C231" s="150">
        <f ca="1">IF(INDIRECT(ADDRESS(ROW('3'!BU$24),COLUMN('3'!BU$6)+ROW(A7)+48,1,1,"3"))="","",INDIRECT(ADDRESS(ROW('3'!BU$24),COLUMN('3'!BU$6)+ROW(A7)+48,1,1,"3")))</f>
        <v>876243.38400000054</v>
      </c>
      <c r="D231" s="150" t="str">
        <f ca="1">IF(INDIRECT(ADDRESS(ROW('3'!BU$24),COLUMN('3'!BU$6)+ROW(A7)+60,1,1,"3"))="","",INDIRECT(ADDRESS(ROW('3'!BU$24),COLUMN('3'!BU$6)+ROW(A7)+60,1,1,"3")))</f>
        <v/>
      </c>
      <c r="E231" s="150">
        <f ca="1">IF(INDIRECT(ADDRESS(ROW('3'!BU$25),COLUMN('3'!BU$6)+ROW(A7)+36,1,1,"3"))="","",INDIRECT(ADDRESS(ROW('3'!BU$25),COLUMN('3'!BU$6)+ROW(A7)+36,1,1,"3")))</f>
        <v>775102.30700000003</v>
      </c>
      <c r="F231" s="150">
        <f ca="1">IF(INDIRECT(ADDRESS(ROW('3'!BU$25),COLUMN('3'!BU$6)+ROW(A7)+48,1,1,"3"))="","",INDIRECT(ADDRESS(ROW('3'!BU$25),COLUMN('3'!BU$6)+ROW(A7)+48,1,1,"3")))</f>
        <v>919897.35099999979</v>
      </c>
      <c r="G231" s="150" t="str">
        <f ca="1">IF(INDIRECT(ADDRESS(ROW('3'!BU$25),COLUMN('3'!BU$6)+ROW(A7)+60,1,1,"3"))="","",INDIRECT(ADDRESS(ROW('3'!BU$25),COLUMN('3'!BU$6)+ROW(A7)+60,1,1,"3")))</f>
        <v/>
      </c>
      <c r="H231" s="150">
        <f t="shared" ca="1" si="26"/>
        <v>96437.577000000514</v>
      </c>
      <c r="I231" s="150">
        <f t="shared" ca="1" si="27"/>
        <v>-43653.966999999247</v>
      </c>
      <c r="J231" s="150" t="str">
        <f t="shared" ca="1" si="28"/>
        <v/>
      </c>
    </row>
    <row r="232" spans="1:10">
      <c r="A232" s="146" t="s">
        <v>210</v>
      </c>
      <c r="B232" s="150">
        <f ca="1">IF(INDIRECT(ADDRESS(ROW('3'!BU$24),COLUMN('3'!BU$6)+ROW(A8)+36,1,1,"3"))="","",INDIRECT(ADDRESS(ROW('3'!BU$24),COLUMN('3'!BU$6)+ROW(A8)+36,1,1,"3")))</f>
        <v>678022.74699999951</v>
      </c>
      <c r="C232" s="150">
        <f ca="1">IF(INDIRECT(ADDRESS(ROW('3'!BU$24),COLUMN('3'!BU$6)+ROW(A8)+48,1,1,"3"))="","",INDIRECT(ADDRESS(ROW('3'!BU$24),COLUMN('3'!BU$6)+ROW(A8)+48,1,1,"3")))</f>
        <v>715432.98199999984</v>
      </c>
      <c r="D232" s="150" t="str">
        <f ca="1">IF(INDIRECT(ADDRESS(ROW('3'!BU$24),COLUMN('3'!BU$6)+ROW(A8)+60,1,1,"3"))="","",INDIRECT(ADDRESS(ROW('3'!BU$24),COLUMN('3'!BU$6)+ROW(A8)+60,1,1,"3")))</f>
        <v/>
      </c>
      <c r="E232" s="150">
        <f ca="1">IF(INDIRECT(ADDRESS(ROW('3'!BU$25),COLUMN('3'!BU$6)+ROW(A8)+36,1,1,"3"))="","",INDIRECT(ADDRESS(ROW('3'!BU$25),COLUMN('3'!BU$6)+ROW(A8)+36,1,1,"3")))</f>
        <v>704584.15599999949</v>
      </c>
      <c r="F232" s="150">
        <f ca="1">IF(INDIRECT(ADDRESS(ROW('3'!BU$25),COLUMN('3'!BU$6)+ROW(A8)+48,1,1,"3"))="","",INDIRECT(ADDRESS(ROW('3'!BU$25),COLUMN('3'!BU$6)+ROW(A8)+48,1,1,"3")))</f>
        <v>731294.85800000001</v>
      </c>
      <c r="G232" s="150" t="str">
        <f ca="1">IF(INDIRECT(ADDRESS(ROW('3'!BU$25),COLUMN('3'!BU$6)+ROW(A8)+60,1,1,"3"))="","",INDIRECT(ADDRESS(ROW('3'!BU$25),COLUMN('3'!BU$6)+ROW(A8)+60,1,1,"3")))</f>
        <v/>
      </c>
      <c r="H232" s="150">
        <f t="shared" ca="1" si="26"/>
        <v>-26561.408999999985</v>
      </c>
      <c r="I232" s="150">
        <f t="shared" ca="1" si="27"/>
        <v>-15861.876000000164</v>
      </c>
      <c r="J232" s="150" t="str">
        <f t="shared" ca="1" si="28"/>
        <v/>
      </c>
    </row>
    <row r="233" spans="1:10">
      <c r="A233" s="146" t="s">
        <v>211</v>
      </c>
      <c r="B233" s="150">
        <f ca="1">IF(INDIRECT(ADDRESS(ROW('3'!BU$24),COLUMN('3'!BU$6)+ROW(A9)+36,1,1,"3"))="","",INDIRECT(ADDRESS(ROW('3'!BU$24),COLUMN('3'!BU$6)+ROW(A9)+36,1,1,"3")))</f>
        <v>678643.79200000037</v>
      </c>
      <c r="C233" s="150">
        <f ca="1">IF(INDIRECT(ADDRESS(ROW('3'!BU$24),COLUMN('3'!BU$6)+ROW(A9)+48,1,1,"3"))="","",INDIRECT(ADDRESS(ROW('3'!BU$24),COLUMN('3'!BU$6)+ROW(A9)+48,1,1,"3")))</f>
        <v>684282.52099999972</v>
      </c>
      <c r="D233" s="150" t="str">
        <f ca="1">IF(INDIRECT(ADDRESS(ROW('3'!BU$24),COLUMN('3'!BU$6)+ROW(A9)+60,1,1,"3"))="","",INDIRECT(ADDRESS(ROW('3'!BU$24),COLUMN('3'!BU$6)+ROW(A9)+60,1,1,"3")))</f>
        <v/>
      </c>
      <c r="E233" s="150">
        <f ca="1">IF(INDIRECT(ADDRESS(ROW('3'!BU$25),COLUMN('3'!BU$6)+ROW(A9)+36,1,1,"3"))="","",INDIRECT(ADDRESS(ROW('3'!BU$25),COLUMN('3'!BU$6)+ROW(A9)+36,1,1,"3")))</f>
        <v>743373.68900000025</v>
      </c>
      <c r="F233" s="150">
        <f ca="1">IF(INDIRECT(ADDRESS(ROW('3'!BU$25),COLUMN('3'!BU$6)+ROW(A9)+48,1,1,"3"))="","",INDIRECT(ADDRESS(ROW('3'!BU$25),COLUMN('3'!BU$6)+ROW(A9)+48,1,1,"3")))</f>
        <v>759501.68300000019</v>
      </c>
      <c r="G233" s="150" t="str">
        <f ca="1">IF(INDIRECT(ADDRESS(ROW('3'!BU$25),COLUMN('3'!BU$6)+ROW(A9)+60,1,1,"3"))="","",INDIRECT(ADDRESS(ROW('3'!BU$25),COLUMN('3'!BU$6)+ROW(A9)+60,1,1,"3")))</f>
        <v/>
      </c>
      <c r="H233" s="150">
        <f t="shared" ca="1" si="26"/>
        <v>-64729.896999999881</v>
      </c>
      <c r="I233" s="150">
        <f t="shared" ca="1" si="27"/>
        <v>-75219.162000000477</v>
      </c>
      <c r="J233" s="150" t="str">
        <f t="shared" ca="1" si="28"/>
        <v/>
      </c>
    </row>
    <row r="234" spans="1:10">
      <c r="A234" s="146" t="s">
        <v>212</v>
      </c>
      <c r="B234" s="150">
        <f ca="1">IF(INDIRECT(ADDRESS(ROW('3'!BU$24),COLUMN('3'!BU$6)+ROW(A10)+36,1,1,"3"))="","",INDIRECT(ADDRESS(ROW('3'!BU$24),COLUMN('3'!BU$6)+ROW(A10)+36,1,1,"3")))</f>
        <v>689799.53000000026</v>
      </c>
      <c r="C234" s="150">
        <f ca="1">IF(INDIRECT(ADDRESS(ROW('3'!BU$24),COLUMN('3'!BU$6)+ROW(A10)+48,1,1,"3"))="","",INDIRECT(ADDRESS(ROW('3'!BU$24),COLUMN('3'!BU$6)+ROW(A10)+48,1,1,"3")))</f>
        <v>685390.35200000089</v>
      </c>
      <c r="D234" s="150" t="str">
        <f ca="1">IF(INDIRECT(ADDRESS(ROW('3'!BU$24),COLUMN('3'!BU$6)+ROW(A10)+60,1,1,"3"))="","",INDIRECT(ADDRESS(ROW('3'!BU$24),COLUMN('3'!BU$6)+ROW(A10)+60,1,1,"3")))</f>
        <v/>
      </c>
      <c r="E234" s="150">
        <f ca="1">IF(INDIRECT(ADDRESS(ROW('3'!BU$25),COLUMN('3'!BU$6)+ROW(A10)+36,1,1,"3"))="","",INDIRECT(ADDRESS(ROW('3'!BU$25),COLUMN('3'!BU$6)+ROW(A10)+36,1,1,"3")))</f>
        <v>943256.70699999947</v>
      </c>
      <c r="F234" s="150">
        <f ca="1">IF(INDIRECT(ADDRESS(ROW('3'!BU$25),COLUMN('3'!BU$6)+ROW(A10)+48,1,1,"3"))="","",INDIRECT(ADDRESS(ROW('3'!BU$25),COLUMN('3'!BU$6)+ROW(A10)+48,1,1,"3")))</f>
        <v>1004326.5670000007</v>
      </c>
      <c r="G234" s="150" t="str">
        <f ca="1">IF(INDIRECT(ADDRESS(ROW('3'!BU$25),COLUMN('3'!BU$6)+ROW(A10)+60,1,1,"3"))="","",INDIRECT(ADDRESS(ROW('3'!BU$25),COLUMN('3'!BU$6)+ROW(A10)+60,1,1,"3")))</f>
        <v/>
      </c>
      <c r="H234" s="150">
        <f t="shared" ca="1" si="26"/>
        <v>-253457.17699999921</v>
      </c>
      <c r="I234" s="150">
        <f t="shared" ca="1" si="27"/>
        <v>-318936.21499999985</v>
      </c>
      <c r="J234" s="150" t="str">
        <f t="shared" ca="1" si="28"/>
        <v/>
      </c>
    </row>
    <row r="235" spans="1:10">
      <c r="A235" s="146" t="s">
        <v>213</v>
      </c>
      <c r="B235" s="150">
        <f ca="1">IF(INDIRECT(ADDRESS(ROW('3'!BU$24),COLUMN('3'!BU$6)+ROW(A11)+36,1,1,"3"))="","",INDIRECT(ADDRESS(ROW('3'!BU$24),COLUMN('3'!BU$6)+ROW(A11)+36,1,1,"3")))</f>
        <v>777169.42199999932</v>
      </c>
      <c r="C235" s="150">
        <f ca="1">IF(INDIRECT(ADDRESS(ROW('3'!BU$24),COLUMN('3'!BU$6)+ROW(A11)+48,1,1,"3"))="","",INDIRECT(ADDRESS(ROW('3'!BU$24),COLUMN('3'!BU$6)+ROW(A11)+48,1,1,"3")))</f>
        <v>639433.59499999881</v>
      </c>
      <c r="D235" s="150" t="str">
        <f ca="1">IF(INDIRECT(ADDRESS(ROW('3'!BU$24),COLUMN('3'!BU$6)+ROW(A11)+60,1,1,"3"))="","",INDIRECT(ADDRESS(ROW('3'!BU$24),COLUMN('3'!BU$6)+ROW(A11)+60,1,1,"3")))</f>
        <v/>
      </c>
      <c r="E235" s="150">
        <f ca="1">IF(INDIRECT(ADDRESS(ROW('3'!BU$25),COLUMN('3'!BU$6)+ROW(A11)+36,1,1,"3"))="","",INDIRECT(ADDRESS(ROW('3'!BU$25),COLUMN('3'!BU$6)+ROW(A11)+36,1,1,"3")))</f>
        <v>864698.93900000118</v>
      </c>
      <c r="F235" s="150">
        <f ca="1">IF(INDIRECT(ADDRESS(ROW('3'!BU$25),COLUMN('3'!BU$6)+ROW(A11)+48,1,1,"3"))="","",INDIRECT(ADDRESS(ROW('3'!BU$25),COLUMN('3'!BU$6)+ROW(A11)+48,1,1,"3")))</f>
        <v>887610.95199999958</v>
      </c>
      <c r="G235" s="150" t="str">
        <f ca="1">IF(INDIRECT(ADDRESS(ROW('3'!BU$25),COLUMN('3'!BU$6)+ROW(A11)+60,1,1,"3"))="","",INDIRECT(ADDRESS(ROW('3'!BU$25),COLUMN('3'!BU$6)+ROW(A11)+60,1,1,"3")))</f>
        <v/>
      </c>
      <c r="H235" s="150">
        <f t="shared" ca="1" si="26"/>
        <v>-87529.517000001855</v>
      </c>
      <c r="I235" s="150">
        <f t="shared" ca="1" si="27"/>
        <v>-248177.35700000077</v>
      </c>
      <c r="J235" s="150" t="str">
        <f t="shared" ca="1" si="28"/>
        <v/>
      </c>
    </row>
    <row r="236" spans="1:10">
      <c r="A236" s="146" t="s">
        <v>214</v>
      </c>
      <c r="B236" s="150">
        <f ca="1">IF(INDIRECT(ADDRESS(ROW('3'!BU$24),COLUMN('3'!BU$6)+ROW(A12)+36,1,1,"3"))="","",INDIRECT(ADDRESS(ROW('3'!BU$24),COLUMN('3'!BU$6)+ROW(A12)+36,1,1,"3")))</f>
        <v>799044.44299999997</v>
      </c>
      <c r="C236" s="150">
        <f ca="1">IF(INDIRECT(ADDRESS(ROW('3'!BU$24),COLUMN('3'!BU$6)+ROW(A12)+48,1,1,"3"))="","",INDIRECT(ADDRESS(ROW('3'!BU$24),COLUMN('3'!BU$6)+ROW(A12)+48,1,1,"3")))</f>
        <v>877363.22499999963</v>
      </c>
      <c r="D236" s="150" t="str">
        <f ca="1">IF(INDIRECT(ADDRESS(ROW('3'!BU$24),COLUMN('3'!BU$6)+ROW(A12)+60,1,1,"3"))="","",INDIRECT(ADDRESS(ROW('3'!BU$24),COLUMN('3'!BU$6)+ROW(A12)+60,1,1,"3")))</f>
        <v/>
      </c>
      <c r="E236" s="150">
        <f ca="1">IF(INDIRECT(ADDRESS(ROW('3'!BU$25),COLUMN('3'!BU$6)+ROW(A12)+36,1,1,"3"))="","",INDIRECT(ADDRESS(ROW('3'!BU$25),COLUMN('3'!BU$6)+ROW(A12)+36,1,1,"3")))</f>
        <v>1757604.8879999984</v>
      </c>
      <c r="F236" s="150">
        <f ca="1">IF(INDIRECT(ADDRESS(ROW('3'!BU$25),COLUMN('3'!BU$6)+ROW(A12)+48,1,1,"3"))="","",INDIRECT(ADDRESS(ROW('3'!BU$25),COLUMN('3'!BU$6)+ROW(A12)+48,1,1,"3")))</f>
        <v>1514563.4039999992</v>
      </c>
      <c r="G236" s="150" t="str">
        <f ca="1">IF(INDIRECT(ADDRESS(ROW('3'!BU$25),COLUMN('3'!BU$6)+ROW(A12)+60,1,1,"3"))="","",INDIRECT(ADDRESS(ROW('3'!BU$25),COLUMN('3'!BU$6)+ROW(A12)+60,1,1,"3")))</f>
        <v/>
      </c>
      <c r="H236" s="150">
        <f t="shared" ca="1" si="26"/>
        <v>-958560.44499999844</v>
      </c>
      <c r="I236" s="150">
        <f t="shared" ca="1" si="27"/>
        <v>-637200.17899999954</v>
      </c>
      <c r="J236" s="150" t="str">
        <f t="shared" ca="1" si="28"/>
        <v/>
      </c>
    </row>
    <row r="237" spans="1:10">
      <c r="A237" s="159" t="s">
        <v>215</v>
      </c>
      <c r="B237" s="150">
        <f t="shared" ref="B237:G237" ca="1" si="29">SUM(B225:B236)</f>
        <v>9040426.9979999997</v>
      </c>
      <c r="C237" s="150">
        <f t="shared" ca="1" si="29"/>
        <v>10003408.824999999</v>
      </c>
      <c r="D237" s="150">
        <f t="shared" ca="1" si="29"/>
        <v>3017954.6485100002</v>
      </c>
      <c r="E237" s="150">
        <f t="shared" ca="1" si="29"/>
        <v>10571427.699999999</v>
      </c>
      <c r="F237" s="150">
        <f t="shared" ca="1" si="29"/>
        <v>11086028.166999999</v>
      </c>
      <c r="G237" s="150">
        <f t="shared" ca="1" si="29"/>
        <v>4003173.8518099999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339" t="s">
        <v>104</v>
      </c>
      <c r="B293" s="340"/>
      <c r="C293" s="340"/>
      <c r="D293" s="340"/>
      <c r="E293" s="340"/>
      <c r="F293" s="340"/>
      <c r="G293" s="340"/>
      <c r="H293" s="340"/>
      <c r="I293" s="340"/>
      <c r="J293" s="341"/>
    </row>
    <row r="294" spans="1:45">
      <c r="A294" s="138" t="s">
        <v>38</v>
      </c>
      <c r="B294" s="337" t="s">
        <v>94</v>
      </c>
      <c r="C294" s="345"/>
      <c r="D294" s="338"/>
      <c r="E294" s="337" t="s">
        <v>95</v>
      </c>
      <c r="F294" s="345"/>
      <c r="G294" s="338"/>
      <c r="H294" s="337" t="s">
        <v>96</v>
      </c>
      <c r="I294" s="345"/>
      <c r="J294" s="338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2023</v>
      </c>
      <c r="C297" s="158">
        <v>2024</v>
      </c>
      <c r="D297" s="158">
        <v>2025</v>
      </c>
      <c r="E297" s="158">
        <v>2023</v>
      </c>
      <c r="F297" s="158">
        <v>2024</v>
      </c>
      <c r="G297" s="158">
        <v>2025</v>
      </c>
      <c r="H297" s="158">
        <v>2023</v>
      </c>
      <c r="I297" s="158">
        <v>2024</v>
      </c>
      <c r="J297" s="158">
        <v>2025</v>
      </c>
      <c r="M297" s="111" t="s">
        <v>124</v>
      </c>
      <c r="N297" s="284" t="str">
        <f t="shared" ref="N297:N309" si="30">C810</f>
        <v>2020 fakts</v>
      </c>
      <c r="O297" s="284" t="str">
        <f t="shared" ref="O297:O309" si="31">D810</f>
        <v>2021 plāns</v>
      </c>
      <c r="P297" s="284" t="str">
        <f t="shared" ref="P297:P309" si="32">E810</f>
        <v>2021 fakts</v>
      </c>
      <c r="Q297" s="284" t="str">
        <f t="shared" ref="Q297:Q309" si="33">F810</f>
        <v>2022 plāns</v>
      </c>
      <c r="R297" s="284" t="str">
        <f t="shared" ref="R297:R309" si="34">G810</f>
        <v>2022 fakts</v>
      </c>
      <c r="S297" s="284" t="str">
        <f t="shared" ref="S297:S309" si="35">H810</f>
        <v>2023 plāns</v>
      </c>
      <c r="T297" s="284" t="str">
        <f t="shared" ref="T297:V309" si="36">I810</f>
        <v>2023 fakts</v>
      </c>
      <c r="U297" s="284" t="str">
        <f t="shared" si="36"/>
        <v>2024 fakts</v>
      </c>
      <c r="V297" s="284" t="str">
        <f t="shared" si="36"/>
        <v>2025 prognoze</v>
      </c>
      <c r="AO297" s="33"/>
      <c r="AP297" s="33"/>
      <c r="AQ297" s="33"/>
      <c r="AR297" s="33"/>
      <c r="AS297" s="33"/>
    </row>
    <row r="298" spans="1:45">
      <c r="A298" s="146" t="s">
        <v>203</v>
      </c>
      <c r="B298" s="147">
        <f ca="1">IFERROR(B225/T298*100,"")</f>
        <v>1.828537627528068</v>
      </c>
      <c r="C298" s="147">
        <f ca="1">IFERROR(C225/U298*100,"")</f>
        <v>2.2927405420978331</v>
      </c>
      <c r="D298" s="147">
        <f ca="1">IFERROR(D225/V298*100,"")</f>
        <v>1.9573152833420724</v>
      </c>
      <c r="E298" s="147">
        <f ca="1">IFERROR(E225/T298*100,"")</f>
        <v>1.5609550352402852</v>
      </c>
      <c r="F298" s="147">
        <f ca="1">IFERROR(F225/U298*100,"")</f>
        <v>2.0142424212579724</v>
      </c>
      <c r="G298" s="147">
        <f ca="1">IFERROR(G225/V298*100,"")</f>
        <v>2.2576225029226644</v>
      </c>
      <c r="H298" s="147">
        <f ca="1">IFERROR(B298-E298,"")</f>
        <v>0.26758259228778281</v>
      </c>
      <c r="I298" s="147">
        <f ca="1">IFERROR(C298-F298,"")</f>
        <v>0.2784981208398607</v>
      </c>
      <c r="J298" s="147">
        <f ca="1">IFERROR(D298-G298,"")</f>
        <v>-0.30030721958059203</v>
      </c>
      <c r="M298" s="283" t="s">
        <v>203</v>
      </c>
      <c r="N298" s="112">
        <f t="shared" si="30"/>
        <v>29224340</v>
      </c>
      <c r="O298" s="112">
        <f t="shared" si="31"/>
        <v>32285300</v>
      </c>
      <c r="P298" s="112">
        <f t="shared" si="32"/>
        <v>32283779</v>
      </c>
      <c r="Q298" s="112">
        <f t="shared" si="33"/>
        <v>36103656</v>
      </c>
      <c r="R298" s="112">
        <f t="shared" si="34"/>
        <v>36099675</v>
      </c>
      <c r="S298" s="112">
        <f t="shared" si="35"/>
        <v>39072483</v>
      </c>
      <c r="T298" s="112">
        <f t="shared" si="36"/>
        <v>39372411</v>
      </c>
      <c r="U298" s="112">
        <f t="shared" si="36"/>
        <v>40208388</v>
      </c>
      <c r="V298" s="112">
        <f t="shared" si="36"/>
        <v>41956681.000200301</v>
      </c>
      <c r="AO298" s="33"/>
      <c r="AP298" s="33"/>
      <c r="AQ298" s="33"/>
      <c r="AR298" s="33"/>
      <c r="AS298" s="33"/>
    </row>
    <row r="299" spans="1:45">
      <c r="A299" s="146" t="s">
        <v>204</v>
      </c>
      <c r="B299" s="147">
        <f t="shared" ref="B299:B309" ca="1" si="37">IFERROR(B226/T299*100,"")</f>
        <v>2.0103365145710783</v>
      </c>
      <c r="C299" s="147">
        <f t="shared" ref="C299:C309" ca="1" si="38">IFERROR(C226/U299*100,"")</f>
        <v>1.854094951531009</v>
      </c>
      <c r="D299" s="147">
        <f t="shared" ref="D299:D309" ca="1" si="39">IFERROR(D226/V299*100,"")</f>
        <v>2.0142635650230898</v>
      </c>
      <c r="E299" s="147">
        <f t="shared" ref="E299:E309" ca="1" si="40">IFERROR(E226/T299*100,"")</f>
        <v>2.2937174256359354</v>
      </c>
      <c r="F299" s="147">
        <f t="shared" ref="F299:F309" ca="1" si="41">IFERROR(F226/U299*100,"")</f>
        <v>2.187982584628859</v>
      </c>
      <c r="G299" s="147">
        <f t="shared" ref="G299:G309" ca="1" si="42">IFERROR(G226/V299*100,"")</f>
        <v>2.3648151034998772</v>
      </c>
      <c r="H299" s="147">
        <f t="shared" ref="H299:H309" ca="1" si="43">IFERROR(B299-E299,"")</f>
        <v>-0.28338091106485708</v>
      </c>
      <c r="I299" s="147">
        <f t="shared" ref="I299:I309" ca="1" si="44">IFERROR(C299-F299,"")</f>
        <v>-0.33388763309784997</v>
      </c>
      <c r="J299" s="147">
        <f t="shared" ref="J299:J309" ca="1" si="45">IFERROR(D299-G299,"")</f>
        <v>-0.35055153847678744</v>
      </c>
      <c r="M299" s="283" t="s">
        <v>204</v>
      </c>
      <c r="N299" s="112">
        <f t="shared" si="30"/>
        <v>29224340</v>
      </c>
      <c r="O299" s="112">
        <f t="shared" si="31"/>
        <v>32285300</v>
      </c>
      <c r="P299" s="112">
        <f t="shared" si="32"/>
        <v>32283779</v>
      </c>
      <c r="Q299" s="112">
        <f t="shared" si="33"/>
        <v>36103656</v>
      </c>
      <c r="R299" s="112">
        <f t="shared" si="34"/>
        <v>36099675</v>
      </c>
      <c r="S299" s="112">
        <f t="shared" si="35"/>
        <v>39072483</v>
      </c>
      <c r="T299" s="112">
        <f t="shared" si="36"/>
        <v>39372411</v>
      </c>
      <c r="U299" s="112">
        <f t="shared" si="36"/>
        <v>40208388</v>
      </c>
      <c r="V299" s="112">
        <f t="shared" si="36"/>
        <v>41956681.000200301</v>
      </c>
      <c r="AO299" s="33"/>
      <c r="AP299" s="33"/>
      <c r="AQ299" s="33"/>
      <c r="AR299" s="33"/>
      <c r="AS299" s="33"/>
    </row>
    <row r="300" spans="1:45">
      <c r="A300" s="146" t="s">
        <v>205</v>
      </c>
      <c r="B300" s="147">
        <f t="shared" ca="1" si="37"/>
        <v>1.3543092750911296</v>
      </c>
      <c r="C300" s="147">
        <f t="shared" ca="1" si="38"/>
        <v>1.7455650025064426</v>
      </c>
      <c r="D300" s="147">
        <f t="shared" ca="1" si="39"/>
        <v>1.2904810473626727</v>
      </c>
      <c r="E300" s="147">
        <f t="shared" ca="1" si="40"/>
        <v>2.036122674834417</v>
      </c>
      <c r="F300" s="147">
        <f t="shared" ca="1" si="41"/>
        <v>2.0037409258983474</v>
      </c>
      <c r="G300" s="147">
        <f t="shared" ca="1" si="42"/>
        <v>2.4683900348434507</v>
      </c>
      <c r="H300" s="147">
        <f t="shared" ca="1" si="43"/>
        <v>-0.68181339974328736</v>
      </c>
      <c r="I300" s="147">
        <f t="shared" ca="1" si="44"/>
        <v>-0.25817592339190476</v>
      </c>
      <c r="J300" s="147">
        <f t="shared" ca="1" si="45"/>
        <v>-1.177908987480778</v>
      </c>
      <c r="M300" s="283" t="s">
        <v>205</v>
      </c>
      <c r="N300" s="112">
        <f t="shared" si="30"/>
        <v>29224340</v>
      </c>
      <c r="O300" s="112">
        <f t="shared" si="31"/>
        <v>32285300</v>
      </c>
      <c r="P300" s="112">
        <f t="shared" si="32"/>
        <v>32283779</v>
      </c>
      <c r="Q300" s="112">
        <f t="shared" si="33"/>
        <v>36103656</v>
      </c>
      <c r="R300" s="112">
        <f t="shared" si="34"/>
        <v>36099675</v>
      </c>
      <c r="S300" s="112">
        <f t="shared" si="35"/>
        <v>39072483</v>
      </c>
      <c r="T300" s="112">
        <f t="shared" si="36"/>
        <v>39372411</v>
      </c>
      <c r="U300" s="112">
        <f t="shared" si="36"/>
        <v>40208388</v>
      </c>
      <c r="V300" s="112">
        <f t="shared" si="36"/>
        <v>41956681.000200301</v>
      </c>
      <c r="AO300" s="33"/>
      <c r="AP300" s="33"/>
      <c r="AQ300" s="33"/>
      <c r="AR300" s="33"/>
      <c r="AS300" s="33"/>
    </row>
    <row r="301" spans="1:45">
      <c r="A301" s="146" t="s">
        <v>206</v>
      </c>
      <c r="B301" s="147">
        <f t="shared" ca="1" si="37"/>
        <v>2.2756892789725267</v>
      </c>
      <c r="C301" s="147">
        <f t="shared" ca="1" si="38"/>
        <v>2.061097676932484</v>
      </c>
      <c r="D301" s="147">
        <f t="shared" ca="1" si="39"/>
        <v>1.9309653306850754</v>
      </c>
      <c r="E301" s="147">
        <f t="shared" ca="1" si="40"/>
        <v>2.0720877393055765</v>
      </c>
      <c r="F301" s="147">
        <f t="shared" ca="1" si="41"/>
        <v>2.6770241348645962</v>
      </c>
      <c r="G301" s="147">
        <f t="shared" ca="1" si="42"/>
        <v>2.4503795190212783</v>
      </c>
      <c r="H301" s="147">
        <f t="shared" ca="1" si="43"/>
        <v>0.20360153966695016</v>
      </c>
      <c r="I301" s="147">
        <f t="shared" ca="1" si="44"/>
        <v>-0.6159264579321122</v>
      </c>
      <c r="J301" s="147">
        <f t="shared" ca="1" si="45"/>
        <v>-0.5194141883362029</v>
      </c>
      <c r="M301" s="283" t="s">
        <v>206</v>
      </c>
      <c r="N301" s="112">
        <f t="shared" si="30"/>
        <v>29224340</v>
      </c>
      <c r="O301" s="112">
        <f t="shared" si="31"/>
        <v>32285300</v>
      </c>
      <c r="P301" s="112">
        <f t="shared" si="32"/>
        <v>32283779</v>
      </c>
      <c r="Q301" s="112">
        <f t="shared" si="33"/>
        <v>36103656</v>
      </c>
      <c r="R301" s="112">
        <f t="shared" si="34"/>
        <v>36099675</v>
      </c>
      <c r="S301" s="112">
        <f t="shared" si="35"/>
        <v>39072483</v>
      </c>
      <c r="T301" s="112">
        <f t="shared" si="36"/>
        <v>39372411</v>
      </c>
      <c r="U301" s="112">
        <f t="shared" si="36"/>
        <v>40208388</v>
      </c>
      <c r="V301" s="112">
        <f t="shared" si="36"/>
        <v>41956681.000200301</v>
      </c>
      <c r="AO301" s="33"/>
      <c r="AP301" s="33"/>
      <c r="AQ301" s="33"/>
      <c r="AR301" s="33"/>
      <c r="AS301" s="33"/>
    </row>
    <row r="302" spans="1:45">
      <c r="A302" s="146" t="s">
        <v>207</v>
      </c>
      <c r="B302" s="147">
        <f t="shared" ca="1" si="37"/>
        <v>2.146573934728051</v>
      </c>
      <c r="C302" s="147">
        <f t="shared" ca="1" si="38"/>
        <v>2.7678005942441657</v>
      </c>
      <c r="D302" s="147" t="str">
        <f t="shared" ca="1" si="39"/>
        <v/>
      </c>
      <c r="E302" s="147">
        <f t="shared" ca="1" si="40"/>
        <v>1.9694887290493834</v>
      </c>
      <c r="F302" s="147">
        <f t="shared" ca="1" si="41"/>
        <v>1.9493275234013365</v>
      </c>
      <c r="G302" s="147" t="str">
        <f t="shared" ca="1" si="42"/>
        <v/>
      </c>
      <c r="H302" s="147">
        <f t="shared" ca="1" si="43"/>
        <v>0.17708520567866759</v>
      </c>
      <c r="I302" s="147">
        <f t="shared" ca="1" si="44"/>
        <v>0.81847307084282916</v>
      </c>
      <c r="J302" s="147" t="str">
        <f t="shared" ca="1" si="45"/>
        <v/>
      </c>
      <c r="M302" s="283" t="s">
        <v>207</v>
      </c>
      <c r="N302" s="112">
        <f t="shared" si="30"/>
        <v>29224340</v>
      </c>
      <c r="O302" s="112">
        <f t="shared" si="31"/>
        <v>32285300</v>
      </c>
      <c r="P302" s="112">
        <f t="shared" si="32"/>
        <v>32283779</v>
      </c>
      <c r="Q302" s="112">
        <f t="shared" si="33"/>
        <v>36103656</v>
      </c>
      <c r="R302" s="112">
        <f t="shared" si="34"/>
        <v>36099675</v>
      </c>
      <c r="S302" s="112">
        <f t="shared" si="35"/>
        <v>39072483</v>
      </c>
      <c r="T302" s="112">
        <f t="shared" si="36"/>
        <v>39372411</v>
      </c>
      <c r="U302" s="112">
        <f t="shared" si="36"/>
        <v>40208388</v>
      </c>
      <c r="V302" s="112">
        <f t="shared" si="36"/>
        <v>41956681.000200301</v>
      </c>
      <c r="AO302" s="33"/>
      <c r="AP302" s="33"/>
      <c r="AQ302" s="33"/>
      <c r="AR302" s="33"/>
      <c r="AS302" s="33"/>
    </row>
    <row r="303" spans="1:45">
      <c r="A303" s="146" t="s">
        <v>208</v>
      </c>
      <c r="B303" s="147">
        <f t="shared" ca="1" si="37"/>
        <v>1.9312355877825205</v>
      </c>
      <c r="C303" s="147">
        <f t="shared" ca="1" si="38"/>
        <v>3.0202687036346747</v>
      </c>
      <c r="D303" s="147" t="str">
        <f t="shared" ca="1" si="39"/>
        <v/>
      </c>
      <c r="E303" s="147">
        <f t="shared" ca="1" si="40"/>
        <v>2.215238594354815</v>
      </c>
      <c r="F303" s="147">
        <f t="shared" ca="1" si="41"/>
        <v>2.2714988375062428</v>
      </c>
      <c r="G303" s="147" t="str">
        <f t="shared" ca="1" si="42"/>
        <v/>
      </c>
      <c r="H303" s="147">
        <f t="shared" ca="1" si="43"/>
        <v>-0.28400300657229449</v>
      </c>
      <c r="I303" s="147">
        <f t="shared" ca="1" si="44"/>
        <v>0.74876986612843188</v>
      </c>
      <c r="J303" s="147" t="str">
        <f t="shared" ca="1" si="45"/>
        <v/>
      </c>
      <c r="M303" s="283" t="s">
        <v>208</v>
      </c>
      <c r="N303" s="112">
        <f t="shared" si="30"/>
        <v>29224340</v>
      </c>
      <c r="O303" s="112">
        <f t="shared" si="31"/>
        <v>32285300</v>
      </c>
      <c r="P303" s="112">
        <f t="shared" si="32"/>
        <v>32283779</v>
      </c>
      <c r="Q303" s="112">
        <f t="shared" si="33"/>
        <v>36103656</v>
      </c>
      <c r="R303" s="112">
        <f t="shared" si="34"/>
        <v>36099675</v>
      </c>
      <c r="S303" s="112">
        <f t="shared" si="35"/>
        <v>39072483</v>
      </c>
      <c r="T303" s="112">
        <f t="shared" si="36"/>
        <v>39372411</v>
      </c>
      <c r="U303" s="112">
        <f t="shared" si="36"/>
        <v>40208388</v>
      </c>
      <c r="V303" s="112">
        <f t="shared" si="36"/>
        <v>41956681.000200301</v>
      </c>
      <c r="AO303" s="33"/>
      <c r="AP303" s="33"/>
      <c r="AQ303" s="33"/>
      <c r="AR303" s="33"/>
      <c r="AS303" s="33"/>
    </row>
    <row r="304" spans="1:45">
      <c r="A304" s="146" t="s">
        <v>209</v>
      </c>
      <c r="B304" s="147">
        <f t="shared" ca="1" si="37"/>
        <v>2.2135801741986301</v>
      </c>
      <c r="C304" s="147">
        <f t="shared" ca="1" si="38"/>
        <v>2.1792551942147012</v>
      </c>
      <c r="D304" s="147" t="str">
        <f t="shared" ca="1" si="39"/>
        <v/>
      </c>
      <c r="E304" s="147">
        <f t="shared" ca="1" si="40"/>
        <v>1.9686432385357351</v>
      </c>
      <c r="F304" s="147">
        <f t="shared" ca="1" si="41"/>
        <v>2.2878244982116662</v>
      </c>
      <c r="G304" s="147" t="str">
        <f t="shared" ca="1" si="42"/>
        <v/>
      </c>
      <c r="H304" s="147">
        <f t="shared" ca="1" si="43"/>
        <v>0.24493693566289498</v>
      </c>
      <c r="I304" s="147">
        <f t="shared" ca="1" si="44"/>
        <v>-0.10856930399696507</v>
      </c>
      <c r="J304" s="147" t="str">
        <f t="shared" ca="1" si="45"/>
        <v/>
      </c>
      <c r="M304" s="283" t="s">
        <v>209</v>
      </c>
      <c r="N304" s="112">
        <f t="shared" si="30"/>
        <v>29224340</v>
      </c>
      <c r="O304" s="112">
        <f t="shared" si="31"/>
        <v>32285300</v>
      </c>
      <c r="P304" s="112">
        <f t="shared" si="32"/>
        <v>32283779</v>
      </c>
      <c r="Q304" s="112">
        <f t="shared" si="33"/>
        <v>36103656</v>
      </c>
      <c r="R304" s="112">
        <f t="shared" si="34"/>
        <v>36099675</v>
      </c>
      <c r="S304" s="112">
        <f t="shared" si="35"/>
        <v>39072483</v>
      </c>
      <c r="T304" s="112">
        <f t="shared" si="36"/>
        <v>39372411</v>
      </c>
      <c r="U304" s="112">
        <f t="shared" si="36"/>
        <v>40208388</v>
      </c>
      <c r="V304" s="112">
        <f t="shared" si="36"/>
        <v>41956681.000200301</v>
      </c>
      <c r="AO304" s="33"/>
      <c r="AP304" s="33"/>
      <c r="AQ304" s="33"/>
      <c r="AR304" s="33"/>
      <c r="AS304" s="33"/>
    </row>
    <row r="305" spans="1:45">
      <c r="A305" s="146" t="s">
        <v>210</v>
      </c>
      <c r="B305" s="147">
        <f t="shared" ca="1" si="37"/>
        <v>1.7220757626450651</v>
      </c>
      <c r="C305" s="147">
        <f t="shared" ca="1" si="38"/>
        <v>1.7793127692659547</v>
      </c>
      <c r="D305" s="147" t="str">
        <f t="shared" ca="1" si="39"/>
        <v/>
      </c>
      <c r="E305" s="147">
        <f t="shared" ca="1" si="40"/>
        <v>1.7895377450977017</v>
      </c>
      <c r="F305" s="147">
        <f t="shared" ca="1" si="41"/>
        <v>1.818761940916408</v>
      </c>
      <c r="G305" s="147" t="str">
        <f t="shared" ca="1" si="42"/>
        <v/>
      </c>
      <c r="H305" s="147">
        <f t="shared" ca="1" si="43"/>
        <v>-6.7461982452636571E-2</v>
      </c>
      <c r="I305" s="147">
        <f t="shared" ca="1" si="44"/>
        <v>-3.9449171650453252E-2</v>
      </c>
      <c r="J305" s="147" t="str">
        <f t="shared" ca="1" si="45"/>
        <v/>
      </c>
      <c r="M305" s="283" t="s">
        <v>210</v>
      </c>
      <c r="N305" s="112">
        <f t="shared" si="30"/>
        <v>29224340</v>
      </c>
      <c r="O305" s="112">
        <f t="shared" si="31"/>
        <v>32285300</v>
      </c>
      <c r="P305" s="112">
        <f t="shared" si="32"/>
        <v>32283779</v>
      </c>
      <c r="Q305" s="112">
        <f t="shared" si="33"/>
        <v>36103656</v>
      </c>
      <c r="R305" s="112">
        <f t="shared" si="34"/>
        <v>36099675</v>
      </c>
      <c r="S305" s="112">
        <f t="shared" si="35"/>
        <v>39072483</v>
      </c>
      <c r="T305" s="112">
        <f t="shared" si="36"/>
        <v>39372411</v>
      </c>
      <c r="U305" s="112">
        <f t="shared" si="36"/>
        <v>40208388</v>
      </c>
      <c r="V305" s="112">
        <f t="shared" si="36"/>
        <v>41956681.000200301</v>
      </c>
      <c r="AO305" s="33"/>
      <c r="AP305" s="33"/>
      <c r="AQ305" s="33"/>
      <c r="AR305" s="33"/>
      <c r="AS305" s="33"/>
    </row>
    <row r="306" spans="1:45">
      <c r="A306" s="146" t="s">
        <v>211</v>
      </c>
      <c r="B306" s="147">
        <f t="shared" ca="1" si="37"/>
        <v>1.7236531235031562</v>
      </c>
      <c r="C306" s="147">
        <f t="shared" ca="1" si="38"/>
        <v>1.7018402254773302</v>
      </c>
      <c r="D306" s="147" t="str">
        <f t="shared" ca="1" si="39"/>
        <v/>
      </c>
      <c r="E306" s="147">
        <f t="shared" ca="1" si="40"/>
        <v>1.8880573226770396</v>
      </c>
      <c r="F306" s="147">
        <f t="shared" ca="1" si="41"/>
        <v>1.88891353465849</v>
      </c>
      <c r="G306" s="147" t="str">
        <f t="shared" ca="1" si="42"/>
        <v/>
      </c>
      <c r="H306" s="147">
        <f t="shared" ca="1" si="43"/>
        <v>-0.16440419917388338</v>
      </c>
      <c r="I306" s="147">
        <f t="shared" ca="1" si="44"/>
        <v>-0.18707330918115983</v>
      </c>
      <c r="J306" s="147" t="str">
        <f t="shared" ca="1" si="45"/>
        <v/>
      </c>
      <c r="M306" s="283" t="s">
        <v>211</v>
      </c>
      <c r="N306" s="112">
        <f t="shared" si="30"/>
        <v>29224340</v>
      </c>
      <c r="O306" s="112">
        <f t="shared" si="31"/>
        <v>32285300</v>
      </c>
      <c r="P306" s="112">
        <f t="shared" si="32"/>
        <v>32283779</v>
      </c>
      <c r="Q306" s="112">
        <f t="shared" si="33"/>
        <v>36103656</v>
      </c>
      <c r="R306" s="112">
        <f t="shared" si="34"/>
        <v>36099675</v>
      </c>
      <c r="S306" s="112">
        <f t="shared" si="35"/>
        <v>39072483</v>
      </c>
      <c r="T306" s="112">
        <f t="shared" si="36"/>
        <v>39372411</v>
      </c>
      <c r="U306" s="112">
        <f t="shared" si="36"/>
        <v>40208388</v>
      </c>
      <c r="V306" s="112">
        <f t="shared" si="36"/>
        <v>41956681.000200301</v>
      </c>
      <c r="AO306" s="33"/>
      <c r="AP306" s="33"/>
      <c r="AQ306" s="33"/>
      <c r="AR306" s="33"/>
      <c r="AS306" s="33"/>
    </row>
    <row r="307" spans="1:45">
      <c r="A307" s="146" t="s">
        <v>212</v>
      </c>
      <c r="B307" s="147">
        <f t="shared" ca="1" si="37"/>
        <v>1.7519870195401552</v>
      </c>
      <c r="C307" s="147">
        <f t="shared" ca="1" si="38"/>
        <v>1.7045954490888839</v>
      </c>
      <c r="D307" s="147" t="str">
        <f t="shared" ca="1" si="39"/>
        <v/>
      </c>
      <c r="E307" s="147">
        <f t="shared" ca="1" si="40"/>
        <v>2.3957301141654739</v>
      </c>
      <c r="F307" s="147">
        <f t="shared" ca="1" si="41"/>
        <v>2.4978036100328138</v>
      </c>
      <c r="G307" s="147" t="str">
        <f t="shared" ca="1" si="42"/>
        <v/>
      </c>
      <c r="H307" s="147">
        <f t="shared" ca="1" si="43"/>
        <v>-0.64374309462531865</v>
      </c>
      <c r="I307" s="147">
        <f t="shared" ca="1" si="44"/>
        <v>-0.79320816094392987</v>
      </c>
      <c r="J307" s="147" t="str">
        <f t="shared" ca="1" si="45"/>
        <v/>
      </c>
      <c r="M307" s="283" t="s">
        <v>212</v>
      </c>
      <c r="N307" s="112">
        <f t="shared" si="30"/>
        <v>29224340</v>
      </c>
      <c r="O307" s="112">
        <f t="shared" si="31"/>
        <v>32285300</v>
      </c>
      <c r="P307" s="112">
        <f t="shared" si="32"/>
        <v>32283779</v>
      </c>
      <c r="Q307" s="112">
        <f t="shared" si="33"/>
        <v>36103656</v>
      </c>
      <c r="R307" s="112">
        <f t="shared" si="34"/>
        <v>36099675</v>
      </c>
      <c r="S307" s="112">
        <f t="shared" si="35"/>
        <v>39072483</v>
      </c>
      <c r="T307" s="112">
        <f t="shared" si="36"/>
        <v>39372411</v>
      </c>
      <c r="U307" s="112">
        <f t="shared" si="36"/>
        <v>40208388</v>
      </c>
      <c r="V307" s="112">
        <f t="shared" si="36"/>
        <v>41956681.000200301</v>
      </c>
      <c r="AO307" s="33"/>
      <c r="AP307" s="33"/>
      <c r="AQ307" s="33"/>
      <c r="AR307" s="33"/>
      <c r="AS307" s="33"/>
    </row>
    <row r="308" spans="1:45">
      <c r="A308" s="146" t="s">
        <v>213</v>
      </c>
      <c r="B308" s="147">
        <f t="shared" ca="1" si="37"/>
        <v>1.9738933996193408</v>
      </c>
      <c r="C308" s="147">
        <f t="shared" ca="1" si="38"/>
        <v>1.5902990067644562</v>
      </c>
      <c r="D308" s="147" t="str">
        <f t="shared" ca="1" si="39"/>
        <v/>
      </c>
      <c r="E308" s="147">
        <f t="shared" ca="1" si="40"/>
        <v>2.1962052031814898</v>
      </c>
      <c r="F308" s="147">
        <f t="shared" ca="1" si="41"/>
        <v>2.2075268274868409</v>
      </c>
      <c r="G308" s="147" t="str">
        <f t="shared" ca="1" si="42"/>
        <v/>
      </c>
      <c r="H308" s="147">
        <f t="shared" ca="1" si="43"/>
        <v>-0.22231180356214897</v>
      </c>
      <c r="I308" s="147">
        <f t="shared" ca="1" si="44"/>
        <v>-0.61722782072238469</v>
      </c>
      <c r="J308" s="147" t="str">
        <f t="shared" ca="1" si="45"/>
        <v/>
      </c>
      <c r="M308" s="283" t="s">
        <v>213</v>
      </c>
      <c r="N308" s="112">
        <f t="shared" si="30"/>
        <v>29224340</v>
      </c>
      <c r="O308" s="112">
        <f t="shared" si="31"/>
        <v>32285300</v>
      </c>
      <c r="P308" s="112">
        <f t="shared" si="32"/>
        <v>32283779</v>
      </c>
      <c r="Q308" s="112">
        <f t="shared" si="33"/>
        <v>36103656</v>
      </c>
      <c r="R308" s="112">
        <f t="shared" si="34"/>
        <v>36099675</v>
      </c>
      <c r="S308" s="112">
        <f t="shared" si="35"/>
        <v>39072483</v>
      </c>
      <c r="T308" s="112">
        <f t="shared" si="36"/>
        <v>39372411</v>
      </c>
      <c r="U308" s="112">
        <f t="shared" si="36"/>
        <v>40208388</v>
      </c>
      <c r="V308" s="112">
        <f t="shared" si="36"/>
        <v>41956681.000200301</v>
      </c>
      <c r="AO308" s="33"/>
      <c r="AP308" s="33"/>
      <c r="AQ308" s="33"/>
      <c r="AR308" s="33"/>
      <c r="AS308" s="33"/>
    </row>
    <row r="309" spans="1:45">
      <c r="A309" s="146" t="s">
        <v>214</v>
      </c>
      <c r="B309" s="147">
        <f t="shared" ca="1" si="37"/>
        <v>2.0294526616619946</v>
      </c>
      <c r="C309" s="147">
        <f t="shared" ca="1" si="38"/>
        <v>2.1820402872156914</v>
      </c>
      <c r="D309" s="147" t="str">
        <f t="shared" ca="1" si="39"/>
        <v/>
      </c>
      <c r="E309" s="147">
        <f t="shared" ca="1" si="40"/>
        <v>4.4640519677598567</v>
      </c>
      <c r="F309" s="147">
        <f t="shared" ca="1" si="41"/>
        <v>3.7667846917911736</v>
      </c>
      <c r="G309" s="147" t="str">
        <f t="shared" ca="1" si="42"/>
        <v/>
      </c>
      <c r="H309" s="147">
        <f t="shared" ca="1" si="43"/>
        <v>-2.4345993060978621</v>
      </c>
      <c r="I309" s="147">
        <f t="shared" ca="1" si="44"/>
        <v>-1.5847444045754822</v>
      </c>
      <c r="J309" s="147" t="str">
        <f t="shared" ca="1" si="45"/>
        <v/>
      </c>
      <c r="M309" s="283" t="s">
        <v>214</v>
      </c>
      <c r="N309" s="112">
        <f t="shared" si="30"/>
        <v>29224340</v>
      </c>
      <c r="O309" s="112">
        <f t="shared" si="31"/>
        <v>32285300</v>
      </c>
      <c r="P309" s="112">
        <f t="shared" si="32"/>
        <v>32283779</v>
      </c>
      <c r="Q309" s="112">
        <f t="shared" si="33"/>
        <v>36103656</v>
      </c>
      <c r="R309" s="112">
        <f t="shared" si="34"/>
        <v>36099675</v>
      </c>
      <c r="S309" s="112">
        <f t="shared" si="35"/>
        <v>39072483</v>
      </c>
      <c r="T309" s="112">
        <f t="shared" si="36"/>
        <v>39372411</v>
      </c>
      <c r="U309" s="112">
        <f t="shared" si="36"/>
        <v>40208388</v>
      </c>
      <c r="V309" s="112">
        <f t="shared" si="36"/>
        <v>41956681.000200301</v>
      </c>
      <c r="AO309" s="33"/>
      <c r="AP309" s="33"/>
      <c r="AQ309" s="33"/>
      <c r="AR309" s="33"/>
      <c r="AS309" s="33"/>
    </row>
    <row r="310" spans="1:45">
      <c r="A310" s="159" t="s">
        <v>215</v>
      </c>
      <c r="B310" s="147">
        <f t="shared" ref="B310:G310" ca="1" si="46">SUM(B298:B309)</f>
        <v>22.961324359841718</v>
      </c>
      <c r="C310" s="147">
        <f t="shared" ca="1" si="46"/>
        <v>24.878910402973627</v>
      </c>
      <c r="D310" s="147">
        <f t="shared" ca="1" si="46"/>
        <v>7.1930252264129102</v>
      </c>
      <c r="E310" s="147">
        <f t="shared" ca="1" si="46"/>
        <v>26.849835789837709</v>
      </c>
      <c r="F310" s="147">
        <f t="shared" ca="1" si="46"/>
        <v>27.571431530654746</v>
      </c>
      <c r="G310" s="147">
        <f t="shared" ca="1" si="46"/>
        <v>9.5412071602872714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339" t="s">
        <v>107</v>
      </c>
      <c r="B366" s="340"/>
      <c r="C366" s="340"/>
      <c r="D366" s="340"/>
      <c r="E366" s="340"/>
      <c r="F366" s="340"/>
      <c r="G366" s="340"/>
      <c r="H366" s="340"/>
      <c r="I366" s="340"/>
      <c r="J366" s="341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2023</v>
      </c>
      <c r="C370" s="158">
        <v>2024</v>
      </c>
      <c r="D370" s="158">
        <v>2025</v>
      </c>
      <c r="E370" s="158">
        <v>2023</v>
      </c>
      <c r="F370" s="158">
        <v>2024</v>
      </c>
      <c r="G370" s="158">
        <v>2025</v>
      </c>
      <c r="H370" s="158">
        <v>2023</v>
      </c>
      <c r="I370" s="158">
        <v>2024</v>
      </c>
      <c r="J370" s="158">
        <v>2025</v>
      </c>
    </row>
    <row r="371" spans="1:10">
      <c r="A371" s="146" t="s">
        <v>203</v>
      </c>
      <c r="B371" s="150">
        <f ca="1">IF(INDIRECT(ADDRESS(ROW('3'!BU$27),COLUMN('3'!BU$6)+ROW(A1)+36,1,1,"3"))="","",INDIRECT(ADDRESS(ROW('3'!BU$27),COLUMN('3'!BU$6)+ROW(A1)+36,1,1,"3")))</f>
        <v>386755.58600000001</v>
      </c>
      <c r="C371" s="150">
        <f ca="1">IF(INDIRECT(ADDRESS(ROW('3'!BU$27),COLUMN('3'!BU$6)+ROW(A1)+48,1,1,"3"))="","",INDIRECT(ADDRESS(ROW('3'!BU$27),COLUMN('3'!BU$6)+ROW(A1)+48,1,1,"3")))</f>
        <v>418920.08</v>
      </c>
      <c r="D371" s="150">
        <f ca="1">IF(INDIRECT(ADDRESS(ROW('3'!BU$27),COLUMN('3'!BU$6)+ROW(A1)+60,1,1,"3"))="","",INDIRECT(ADDRESS(ROW('3'!BU$27),COLUMN('3'!BU$6)+ROW(A1)+60,1,1,"3")))</f>
        <v>467815.38360999996</v>
      </c>
      <c r="E371" s="150">
        <f ca="1">IF(INDIRECT(ADDRESS(ROW('3'!BU$28),COLUMN('3'!BU$6)+ROW(A1)+36,1,1,"3"))="","",INDIRECT(ADDRESS(ROW('3'!BU$28),COLUMN('3'!BU$6)+ROW(A1)+36,1,1,"3")))</f>
        <v>364905.21299999999</v>
      </c>
      <c r="F371" s="150">
        <f ca="1">IF(INDIRECT(ADDRESS(ROW('3'!BU$28),COLUMN('3'!BU$6)+ROW(A1)+48,1,1,"3"))="","",INDIRECT(ADDRESS(ROW('3'!BU$28),COLUMN('3'!BU$6)+ROW(A1)+48,1,1,"3")))</f>
        <v>384082.641</v>
      </c>
      <c r="G371" s="150">
        <f ca="1">IF(INDIRECT(ADDRESS(ROW('3'!BU$28),COLUMN('3'!BU$6)+ROW(A1)+60,1,1,"3"))="","",INDIRECT(ADDRESS(ROW('3'!BU$28),COLUMN('3'!BU$6)+ROW(A1)+60,1,1,"3")))</f>
        <v>385059.31140000006</v>
      </c>
      <c r="H371" s="150">
        <f ca="1">IFERROR(B371-E371,"")</f>
        <v>21850.373000000021</v>
      </c>
      <c r="I371" s="150">
        <f ca="1">IFERROR(C371-F371,"")</f>
        <v>34837.439000000013</v>
      </c>
      <c r="J371" s="150">
        <f ca="1">IFERROR(D371-G371,"")</f>
        <v>82756.072209999897</v>
      </c>
    </row>
    <row r="372" spans="1:10">
      <c r="A372" s="146" t="s">
        <v>204</v>
      </c>
      <c r="B372" s="150">
        <f ca="1">IF(INDIRECT(ADDRESS(ROW('3'!BU$27),COLUMN('3'!BU$6)+ROW(A2)+36,1,1,"3"))="","",INDIRECT(ADDRESS(ROW('3'!BU$27),COLUMN('3'!BU$6)+ROW(A2)+36,1,1,"3")))</f>
        <v>325763.82200000004</v>
      </c>
      <c r="C372" s="150">
        <f ca="1">IF(INDIRECT(ADDRESS(ROW('3'!BU$27),COLUMN('3'!BU$6)+ROW(A2)+48,1,1,"3"))="","",INDIRECT(ADDRESS(ROW('3'!BU$27),COLUMN('3'!BU$6)+ROW(A2)+48,1,1,"3")))</f>
        <v>375519.64900000003</v>
      </c>
      <c r="D372" s="150">
        <f ca="1">IF(INDIRECT(ADDRESS(ROW('3'!BU$27),COLUMN('3'!BU$6)+ROW(A2)+60,1,1,"3"))="","",INDIRECT(ADDRESS(ROW('3'!BU$27),COLUMN('3'!BU$6)+ROW(A2)+60,1,1,"3")))</f>
        <v>380804.92089000001</v>
      </c>
      <c r="E372" s="150">
        <f ca="1">IF(INDIRECT(ADDRESS(ROW('3'!BU$28),COLUMN('3'!BU$6)+ROW(A2)+36,1,1,"3"))="","",INDIRECT(ADDRESS(ROW('3'!BU$28),COLUMN('3'!BU$6)+ROW(A2)+36,1,1,"3")))</f>
        <v>338753.30000000005</v>
      </c>
      <c r="F372" s="150">
        <f ca="1">IF(INDIRECT(ADDRESS(ROW('3'!BU$28),COLUMN('3'!BU$6)+ROW(A2)+48,1,1,"3"))="","",INDIRECT(ADDRESS(ROW('3'!BU$28),COLUMN('3'!BU$6)+ROW(A2)+48,1,1,"3")))</f>
        <v>354883.67</v>
      </c>
      <c r="G372" s="150">
        <f ca="1">IF(INDIRECT(ADDRESS(ROW('3'!BU$28),COLUMN('3'!BU$6)+ROW(A2)+60,1,1,"3"))="","",INDIRECT(ADDRESS(ROW('3'!BU$28),COLUMN('3'!BU$6)+ROW(A2)+60,1,1,"3")))</f>
        <v>382316.42268999986</v>
      </c>
      <c r="H372" s="150">
        <f t="shared" ref="H372:H382" ca="1" si="47">IFERROR(B372-E372,"")</f>
        <v>-12989.478000000003</v>
      </c>
      <c r="I372" s="150">
        <f t="shared" ref="I372:I382" ca="1" si="48">IFERROR(C372-F372,"")</f>
        <v>20635.97900000005</v>
      </c>
      <c r="J372" s="150">
        <f t="shared" ref="J372:J382" ca="1" si="49">IFERROR(D372-G372,"")</f>
        <v>-1511.5017999998527</v>
      </c>
    </row>
    <row r="373" spans="1:10">
      <c r="A373" s="146" t="s">
        <v>205</v>
      </c>
      <c r="B373" s="150">
        <f ca="1">IF(INDIRECT(ADDRESS(ROW('3'!BU$27),COLUMN('3'!BU$6)+ROW(A3)+36,1,1,"3"))="","",INDIRECT(ADDRESS(ROW('3'!BU$27),COLUMN('3'!BU$6)+ROW(A3)+36,1,1,"3")))</f>
        <v>269347.90399999998</v>
      </c>
      <c r="C373" s="150">
        <f ca="1">IF(INDIRECT(ADDRESS(ROW('3'!BU$27),COLUMN('3'!BU$6)+ROW(A3)+48,1,1,"3"))="","",INDIRECT(ADDRESS(ROW('3'!BU$27),COLUMN('3'!BU$6)+ROW(A3)+48,1,1,"3")))</f>
        <v>354904.03700000001</v>
      </c>
      <c r="D373" s="150">
        <f ca="1">IF(INDIRECT(ADDRESS(ROW('3'!BU$27),COLUMN('3'!BU$6)+ROW(A3)+60,1,1,"3"))="","",INDIRECT(ADDRESS(ROW('3'!BU$27),COLUMN('3'!BU$6)+ROW(A3)+60,1,1,"3")))</f>
        <v>399315.07610999991</v>
      </c>
      <c r="E373" s="150">
        <f ca="1">IF(INDIRECT(ADDRESS(ROW('3'!BU$28),COLUMN('3'!BU$6)+ROW(A3)+36,1,1,"3"))="","",INDIRECT(ADDRESS(ROW('3'!BU$28),COLUMN('3'!BU$6)+ROW(A3)+36,1,1,"3")))</f>
        <v>346087.76</v>
      </c>
      <c r="F373" s="150">
        <f ca="1">IF(INDIRECT(ADDRESS(ROW('3'!BU$28),COLUMN('3'!BU$6)+ROW(A3)+48,1,1,"3"))="","",INDIRECT(ADDRESS(ROW('3'!BU$28),COLUMN('3'!BU$6)+ROW(A3)+48,1,1,"3")))</f>
        <v>327126.696</v>
      </c>
      <c r="G373" s="150">
        <f ca="1">IF(INDIRECT(ADDRESS(ROW('3'!BU$28),COLUMN('3'!BU$6)+ROW(A3)+60,1,1,"3"))="","",INDIRECT(ADDRESS(ROW('3'!BU$28),COLUMN('3'!BU$6)+ROW(A3)+60,1,1,"3")))</f>
        <v>381995.31789000006</v>
      </c>
      <c r="H373" s="150">
        <f t="shared" ca="1" si="47"/>
        <v>-76739.856000000029</v>
      </c>
      <c r="I373" s="150">
        <f t="shared" ca="1" si="48"/>
        <v>27777.341000000015</v>
      </c>
      <c r="J373" s="150">
        <f t="shared" ca="1" si="49"/>
        <v>17319.758219999843</v>
      </c>
    </row>
    <row r="374" spans="1:10">
      <c r="A374" s="146" t="s">
        <v>206</v>
      </c>
      <c r="B374" s="150">
        <f ca="1">IF(INDIRECT(ADDRESS(ROW('3'!BU$27),COLUMN('3'!BU$6)+ROW(A4)+36,1,1,"3"))="","",INDIRECT(ADDRESS(ROW('3'!BU$27),COLUMN('3'!BU$6)+ROW(A4)+36,1,1,"3")))</f>
        <v>358546.38600000006</v>
      </c>
      <c r="C374" s="150">
        <f ca="1">IF(INDIRECT(ADDRESS(ROW('3'!BU$27),COLUMN('3'!BU$6)+ROW(A4)+48,1,1,"3"))="","",INDIRECT(ADDRESS(ROW('3'!BU$27),COLUMN('3'!BU$6)+ROW(A4)+48,1,1,"3")))</f>
        <v>418219.87999999989</v>
      </c>
      <c r="D374" s="150">
        <f ca="1">IF(INDIRECT(ADDRESS(ROW('3'!BU$27),COLUMN('3'!BU$6)+ROW(A4)+60,1,1,"3"))="","",INDIRECT(ADDRESS(ROW('3'!BU$27),COLUMN('3'!BU$6)+ROW(A4)+60,1,1,"3")))</f>
        <v>411874.29661999992</v>
      </c>
      <c r="E374" s="150">
        <f ca="1">IF(INDIRECT(ADDRESS(ROW('3'!BU$28),COLUMN('3'!BU$6)+ROW(A4)+36,1,1,"3"))="","",INDIRECT(ADDRESS(ROW('3'!BU$28),COLUMN('3'!BU$6)+ROW(A4)+36,1,1,"3")))</f>
        <v>349816.348</v>
      </c>
      <c r="F374" s="150">
        <f ca="1">IF(INDIRECT(ADDRESS(ROW('3'!BU$28),COLUMN('3'!BU$6)+ROW(A4)+48,1,1,"3"))="","",INDIRECT(ADDRESS(ROW('3'!BU$28),COLUMN('3'!BU$6)+ROW(A4)+48,1,1,"3")))</f>
        <v>361926.3330000001</v>
      </c>
      <c r="G374" s="150">
        <f ca="1">IF(INDIRECT(ADDRESS(ROW('3'!BU$28),COLUMN('3'!BU$6)+ROW(A4)+60,1,1,"3"))="","",INDIRECT(ADDRESS(ROW('3'!BU$28),COLUMN('3'!BU$6)+ROW(A4)+60,1,1,"3")))</f>
        <v>445218.19495999976</v>
      </c>
      <c r="H374" s="150">
        <f t="shared" ca="1" si="47"/>
        <v>8730.0380000000587</v>
      </c>
      <c r="I374" s="150">
        <f t="shared" ca="1" si="48"/>
        <v>56293.546999999788</v>
      </c>
      <c r="J374" s="150">
        <f t="shared" ca="1" si="49"/>
        <v>-33343.89833999984</v>
      </c>
    </row>
    <row r="375" spans="1:10">
      <c r="A375" s="146" t="s">
        <v>207</v>
      </c>
      <c r="B375" s="150">
        <f ca="1">IF(INDIRECT(ADDRESS(ROW('3'!BU$27),COLUMN('3'!BU$6)+ROW(A5)+36,1,1,"3"))="","",INDIRECT(ADDRESS(ROW('3'!BU$27),COLUMN('3'!BU$6)+ROW(A5)+36,1,1,"3")))</f>
        <v>351917.30299999984</v>
      </c>
      <c r="C375" s="150">
        <f ca="1">IF(INDIRECT(ADDRESS(ROW('3'!BU$27),COLUMN('3'!BU$6)+ROW(A5)+48,1,1,"3"))="","",INDIRECT(ADDRESS(ROW('3'!BU$27),COLUMN('3'!BU$6)+ROW(A5)+48,1,1,"3")))</f>
        <v>380821.70200000005</v>
      </c>
      <c r="D375" s="150" t="str">
        <f ca="1">IF(INDIRECT(ADDRESS(ROW('3'!BU$27),COLUMN('3'!BU$6)+ROW(A5)+60,1,1,"3"))="","",INDIRECT(ADDRESS(ROW('3'!BU$27),COLUMN('3'!BU$6)+ROW(A5)+60,1,1,"3")))</f>
        <v/>
      </c>
      <c r="E375" s="150">
        <f ca="1">IF(INDIRECT(ADDRESS(ROW('3'!BU$28),COLUMN('3'!BU$6)+ROW(A5)+36,1,1,"3"))="","",INDIRECT(ADDRESS(ROW('3'!BU$28),COLUMN('3'!BU$6)+ROW(A5)+36,1,1,"3")))</f>
        <v>311041.83999999985</v>
      </c>
      <c r="F375" s="150">
        <f ca="1">IF(INDIRECT(ADDRESS(ROW('3'!BU$28),COLUMN('3'!BU$6)+ROW(A5)+48,1,1,"3"))="","",INDIRECT(ADDRESS(ROW('3'!BU$28),COLUMN('3'!BU$6)+ROW(A5)+48,1,1,"3")))</f>
        <v>349325.47699999996</v>
      </c>
      <c r="G375" s="150" t="str">
        <f ca="1">IF(INDIRECT(ADDRESS(ROW('3'!BU$28),COLUMN('3'!BU$6)+ROW(A5)+60,1,1,"3"))="","",INDIRECT(ADDRESS(ROW('3'!BU$28),COLUMN('3'!BU$6)+ROW(A5)+60,1,1,"3")))</f>
        <v/>
      </c>
      <c r="H375" s="150">
        <f t="shared" ca="1" si="47"/>
        <v>40875.462999999989</v>
      </c>
      <c r="I375" s="150">
        <f t="shared" ca="1" si="48"/>
        <v>31496.225000000093</v>
      </c>
      <c r="J375" s="150" t="str">
        <f t="shared" ca="1" si="49"/>
        <v/>
      </c>
    </row>
    <row r="376" spans="1:10">
      <c r="A376" s="146" t="s">
        <v>208</v>
      </c>
      <c r="B376" s="150">
        <f ca="1">IF(INDIRECT(ADDRESS(ROW('3'!BU$27),COLUMN('3'!BU$6)+ROW(A6)+36,1,1,"3"))="","",INDIRECT(ADDRESS(ROW('3'!BU$27),COLUMN('3'!BU$6)+ROW(A6)+36,1,1,"3")))</f>
        <v>365282.09200000018</v>
      </c>
      <c r="C376" s="150">
        <f ca="1">IF(INDIRECT(ADDRESS(ROW('3'!BU$27),COLUMN('3'!BU$6)+ROW(A6)+48,1,1,"3"))="","",INDIRECT(ADDRESS(ROW('3'!BU$27),COLUMN('3'!BU$6)+ROW(A6)+48,1,1,"3")))</f>
        <v>382971.3600000001</v>
      </c>
      <c r="D376" s="150" t="str">
        <f ca="1">IF(INDIRECT(ADDRESS(ROW('3'!BU$27),COLUMN('3'!BU$6)+ROW(A6)+60,1,1,"3"))="","",INDIRECT(ADDRESS(ROW('3'!BU$27),COLUMN('3'!BU$6)+ROW(A6)+60,1,1,"3")))</f>
        <v/>
      </c>
      <c r="E376" s="150">
        <f ca="1">IF(INDIRECT(ADDRESS(ROW('3'!BU$28),COLUMN('3'!BU$6)+ROW(A6)+36,1,1,"3"))="","",INDIRECT(ADDRESS(ROW('3'!BU$28),COLUMN('3'!BU$6)+ROW(A6)+36,1,1,"3")))</f>
        <v>328139.66400000011</v>
      </c>
      <c r="F376" s="150">
        <f ca="1">IF(INDIRECT(ADDRESS(ROW('3'!BU$28),COLUMN('3'!BU$6)+ROW(A6)+48,1,1,"3"))="","",INDIRECT(ADDRESS(ROW('3'!BU$28),COLUMN('3'!BU$6)+ROW(A6)+48,1,1,"3")))</f>
        <v>346076.69299999974</v>
      </c>
      <c r="G376" s="150" t="str">
        <f ca="1">IF(INDIRECT(ADDRESS(ROW('3'!BU$28),COLUMN('3'!BU$6)+ROW(A6)+60,1,1,"3"))="","",INDIRECT(ADDRESS(ROW('3'!BU$28),COLUMN('3'!BU$6)+ROW(A6)+60,1,1,"3")))</f>
        <v/>
      </c>
      <c r="H376" s="150">
        <f t="shared" ca="1" si="47"/>
        <v>37142.428000000073</v>
      </c>
      <c r="I376" s="150">
        <f t="shared" ca="1" si="48"/>
        <v>36894.667000000365</v>
      </c>
      <c r="J376" s="150" t="str">
        <f t="shared" ca="1" si="49"/>
        <v/>
      </c>
    </row>
    <row r="377" spans="1:10">
      <c r="A377" s="146" t="s">
        <v>209</v>
      </c>
      <c r="B377" s="150">
        <f ca="1">IF(INDIRECT(ADDRESS(ROW('3'!BU$27),COLUMN('3'!BU$6)+ROW(A7)+36,1,1,"3"))="","",INDIRECT(ADDRESS(ROW('3'!BU$27),COLUMN('3'!BU$6)+ROW(A7)+36,1,1,"3")))</f>
        <v>375551.06199999969</v>
      </c>
      <c r="C377" s="150">
        <f ca="1">IF(INDIRECT(ADDRESS(ROW('3'!BU$27),COLUMN('3'!BU$6)+ROW(A7)+48,1,1,"3"))="","",INDIRECT(ADDRESS(ROW('3'!BU$27),COLUMN('3'!BU$6)+ROW(A7)+48,1,1,"3")))</f>
        <v>394615.49099999992</v>
      </c>
      <c r="D377" s="150" t="str">
        <f ca="1">IF(INDIRECT(ADDRESS(ROW('3'!BU$27),COLUMN('3'!BU$6)+ROW(A7)+60,1,1,"3"))="","",INDIRECT(ADDRESS(ROW('3'!BU$27),COLUMN('3'!BU$6)+ROW(A7)+60,1,1,"3")))</f>
        <v/>
      </c>
      <c r="E377" s="150">
        <f ca="1">IF(INDIRECT(ADDRESS(ROW('3'!BU$28),COLUMN('3'!BU$6)+ROW(A7)+36,1,1,"3"))="","",INDIRECT(ADDRESS(ROW('3'!BU$28),COLUMN('3'!BU$6)+ROW(A7)+36,1,1,"3")))</f>
        <v>293936.46400000015</v>
      </c>
      <c r="F377" s="150">
        <f ca="1">IF(INDIRECT(ADDRESS(ROW('3'!BU$28),COLUMN('3'!BU$6)+ROW(A7)+48,1,1,"3"))="","",INDIRECT(ADDRESS(ROW('3'!BU$28),COLUMN('3'!BU$6)+ROW(A7)+48,1,1,"3")))</f>
        <v>352485.14000000013</v>
      </c>
      <c r="G377" s="150" t="str">
        <f ca="1">IF(INDIRECT(ADDRESS(ROW('3'!BU$28),COLUMN('3'!BU$6)+ROW(A7)+60,1,1,"3"))="","",INDIRECT(ADDRESS(ROW('3'!BU$28),COLUMN('3'!BU$6)+ROW(A7)+60,1,1,"3")))</f>
        <v/>
      </c>
      <c r="H377" s="150">
        <f t="shared" ca="1" si="47"/>
        <v>81614.597999999532</v>
      </c>
      <c r="I377" s="150">
        <f t="shared" ca="1" si="48"/>
        <v>42130.350999999791</v>
      </c>
      <c r="J377" s="150" t="str">
        <f t="shared" ca="1" si="49"/>
        <v/>
      </c>
    </row>
    <row r="378" spans="1:10">
      <c r="A378" s="146" t="s">
        <v>210</v>
      </c>
      <c r="B378" s="150">
        <f ca="1">IF(INDIRECT(ADDRESS(ROW('3'!BU$27),COLUMN('3'!BU$6)+ROW(A8)+36,1,1,"3"))="","",INDIRECT(ADDRESS(ROW('3'!BU$27),COLUMN('3'!BU$6)+ROW(A8)+36,1,1,"3")))</f>
        <v>366816.51100000041</v>
      </c>
      <c r="C378" s="150">
        <f ca="1">IF(INDIRECT(ADDRESS(ROW('3'!BU$27),COLUMN('3'!BU$6)+ROW(A8)+48,1,1,"3"))="","",INDIRECT(ADDRESS(ROW('3'!BU$27),COLUMN('3'!BU$6)+ROW(A8)+48,1,1,"3")))</f>
        <v>401394.84700000007</v>
      </c>
      <c r="D378" s="150" t="str">
        <f ca="1">IF(INDIRECT(ADDRESS(ROW('3'!BU$27),COLUMN('3'!BU$6)+ROW(A8)+60,1,1,"3"))="","",INDIRECT(ADDRESS(ROW('3'!BU$27),COLUMN('3'!BU$6)+ROW(A8)+60,1,1,"3")))</f>
        <v/>
      </c>
      <c r="E378" s="150">
        <f ca="1">IF(INDIRECT(ADDRESS(ROW('3'!BU$28),COLUMN('3'!BU$6)+ROW(A8)+36,1,1,"3"))="","",INDIRECT(ADDRESS(ROW('3'!BU$28),COLUMN('3'!BU$6)+ROW(A8)+36,1,1,"3")))</f>
        <v>354471.0839999998</v>
      </c>
      <c r="F378" s="150">
        <f ca="1">IF(INDIRECT(ADDRESS(ROW('3'!BU$28),COLUMN('3'!BU$6)+ROW(A8)+48,1,1,"3"))="","",INDIRECT(ADDRESS(ROW('3'!BU$28),COLUMN('3'!BU$6)+ROW(A8)+48,1,1,"3")))</f>
        <v>350614.46200000029</v>
      </c>
      <c r="G378" s="150" t="str">
        <f ca="1">IF(INDIRECT(ADDRESS(ROW('3'!BU$28),COLUMN('3'!BU$6)+ROW(A8)+60,1,1,"3"))="","",INDIRECT(ADDRESS(ROW('3'!BU$28),COLUMN('3'!BU$6)+ROW(A8)+60,1,1,"3")))</f>
        <v/>
      </c>
      <c r="H378" s="150">
        <f t="shared" ca="1" si="47"/>
        <v>12345.427000000607</v>
      </c>
      <c r="I378" s="150">
        <f t="shared" ca="1" si="48"/>
        <v>50780.384999999776</v>
      </c>
      <c r="J378" s="150" t="str">
        <f t="shared" ca="1" si="49"/>
        <v/>
      </c>
    </row>
    <row r="379" spans="1:10">
      <c r="A379" s="146" t="s">
        <v>211</v>
      </c>
      <c r="B379" s="150">
        <f ca="1">IF(INDIRECT(ADDRESS(ROW('3'!BU$27),COLUMN('3'!BU$6)+ROW(A9)+36,1,1,"3"))="","",INDIRECT(ADDRESS(ROW('3'!BU$27),COLUMN('3'!BU$6)+ROW(A9)+36,1,1,"3")))</f>
        <v>370049.79099999974</v>
      </c>
      <c r="C379" s="150">
        <f ca="1">IF(INDIRECT(ADDRESS(ROW('3'!BU$27),COLUMN('3'!BU$6)+ROW(A9)+48,1,1,"3"))="","",INDIRECT(ADDRESS(ROW('3'!BU$27),COLUMN('3'!BU$6)+ROW(A9)+48,1,1,"3")))</f>
        <v>369593.38199999975</v>
      </c>
      <c r="D379" s="150" t="str">
        <f ca="1">IF(INDIRECT(ADDRESS(ROW('3'!BU$27),COLUMN('3'!BU$6)+ROW(A9)+60,1,1,"3"))="","",INDIRECT(ADDRESS(ROW('3'!BU$27),COLUMN('3'!BU$6)+ROW(A9)+60,1,1,"3")))</f>
        <v/>
      </c>
      <c r="E379" s="150">
        <f ca="1">IF(INDIRECT(ADDRESS(ROW('3'!BU$28),COLUMN('3'!BU$6)+ROW(A9)+36,1,1,"3"))="","",INDIRECT(ADDRESS(ROW('3'!BU$28),COLUMN('3'!BU$6)+ROW(A9)+36,1,1,"3")))</f>
        <v>298878.2790000001</v>
      </c>
      <c r="F379" s="150">
        <f ca="1">IF(INDIRECT(ADDRESS(ROW('3'!BU$28),COLUMN('3'!BU$6)+ROW(A9)+48,1,1,"3"))="","",INDIRECT(ADDRESS(ROW('3'!BU$28),COLUMN('3'!BU$6)+ROW(A9)+48,1,1,"3")))</f>
        <v>356707.81599999964</v>
      </c>
      <c r="G379" s="150" t="str">
        <f ca="1">IF(INDIRECT(ADDRESS(ROW('3'!BU$28),COLUMN('3'!BU$6)+ROW(A9)+60,1,1,"3"))="","",INDIRECT(ADDRESS(ROW('3'!BU$28),COLUMN('3'!BU$6)+ROW(A9)+60,1,1,"3")))</f>
        <v/>
      </c>
      <c r="H379" s="150">
        <f t="shared" ca="1" si="47"/>
        <v>71171.511999999639</v>
      </c>
      <c r="I379" s="150">
        <f t="shared" ca="1" si="48"/>
        <v>12885.566000000108</v>
      </c>
      <c r="J379" s="150" t="str">
        <f t="shared" ca="1" si="49"/>
        <v/>
      </c>
    </row>
    <row r="380" spans="1:10">
      <c r="A380" s="146" t="s">
        <v>212</v>
      </c>
      <c r="B380" s="150">
        <f ca="1">IF(INDIRECT(ADDRESS(ROW('3'!BU$27),COLUMN('3'!BU$6)+ROW(A10)+36,1,1,"3"))="","",INDIRECT(ADDRESS(ROW('3'!BU$27),COLUMN('3'!BU$6)+ROW(A10)+36,1,1,"3")))</f>
        <v>352599.45699999994</v>
      </c>
      <c r="C380" s="150">
        <f ca="1">IF(INDIRECT(ADDRESS(ROW('3'!BU$27),COLUMN('3'!BU$6)+ROW(A10)+48,1,1,"3"))="","",INDIRECT(ADDRESS(ROW('3'!BU$27),COLUMN('3'!BU$6)+ROW(A10)+48,1,1,"3")))</f>
        <v>394067.81799999997</v>
      </c>
      <c r="D380" s="150" t="str">
        <f ca="1">IF(INDIRECT(ADDRESS(ROW('3'!BU$27),COLUMN('3'!BU$6)+ROW(A10)+60,1,1,"3"))="","",INDIRECT(ADDRESS(ROW('3'!BU$27),COLUMN('3'!BU$6)+ROW(A10)+60,1,1,"3")))</f>
        <v/>
      </c>
      <c r="E380" s="150">
        <f ca="1">IF(INDIRECT(ADDRESS(ROW('3'!BU$28),COLUMN('3'!BU$6)+ROW(A10)+36,1,1,"3"))="","",INDIRECT(ADDRESS(ROW('3'!BU$28),COLUMN('3'!BU$6)+ROW(A10)+36,1,1,"3")))</f>
        <v>331478.7629999998</v>
      </c>
      <c r="F380" s="150">
        <f ca="1">IF(INDIRECT(ADDRESS(ROW('3'!BU$28),COLUMN('3'!BU$6)+ROW(A10)+48,1,1,"3"))="","",INDIRECT(ADDRESS(ROW('3'!BU$28),COLUMN('3'!BU$6)+ROW(A10)+48,1,1,"3")))</f>
        <v>376134.74200000009</v>
      </c>
      <c r="G380" s="150" t="str">
        <f ca="1">IF(INDIRECT(ADDRESS(ROW('3'!BU$28),COLUMN('3'!BU$6)+ROW(A10)+60,1,1,"3"))="","",INDIRECT(ADDRESS(ROW('3'!BU$28),COLUMN('3'!BU$6)+ROW(A10)+60,1,1,"3")))</f>
        <v/>
      </c>
      <c r="H380" s="150">
        <f t="shared" ca="1" si="47"/>
        <v>21120.694000000134</v>
      </c>
      <c r="I380" s="150">
        <f t="shared" ca="1" si="48"/>
        <v>17933.075999999885</v>
      </c>
      <c r="J380" s="150" t="str">
        <f t="shared" ca="1" si="49"/>
        <v/>
      </c>
    </row>
    <row r="381" spans="1:10">
      <c r="A381" s="146" t="s">
        <v>213</v>
      </c>
      <c r="B381" s="150">
        <f ca="1">IF(INDIRECT(ADDRESS(ROW('3'!BU$27),COLUMN('3'!BU$6)+ROW(A11)+36,1,1,"3"))="","",INDIRECT(ADDRESS(ROW('3'!BU$27),COLUMN('3'!BU$6)+ROW(A11)+36,1,1,"3")))</f>
        <v>361097.13400000008</v>
      </c>
      <c r="C381" s="150">
        <f ca="1">IF(INDIRECT(ADDRESS(ROW('3'!BU$27),COLUMN('3'!BU$6)+ROW(A11)+48,1,1,"3"))="","",INDIRECT(ADDRESS(ROW('3'!BU$27),COLUMN('3'!BU$6)+ROW(A11)+48,1,1,"3")))</f>
        <v>383293.73800000036</v>
      </c>
      <c r="D381" s="150" t="str">
        <f ca="1">IF(INDIRECT(ADDRESS(ROW('3'!BU$27),COLUMN('3'!BU$6)+ROW(A11)+60,1,1,"3"))="","",INDIRECT(ADDRESS(ROW('3'!BU$27),COLUMN('3'!BU$6)+ROW(A11)+60,1,1,"3")))</f>
        <v/>
      </c>
      <c r="E381" s="150">
        <f ca="1">IF(INDIRECT(ADDRESS(ROW('3'!BU$28),COLUMN('3'!BU$6)+ROW(A11)+36,1,1,"3"))="","",INDIRECT(ADDRESS(ROW('3'!BU$28),COLUMN('3'!BU$6)+ROW(A11)+36,1,1,"3")))</f>
        <v>349793.26600000029</v>
      </c>
      <c r="F381" s="150">
        <f ca="1">IF(INDIRECT(ADDRESS(ROW('3'!BU$28),COLUMN('3'!BU$6)+ROW(A11)+48,1,1,"3"))="","",INDIRECT(ADDRESS(ROW('3'!BU$28),COLUMN('3'!BU$6)+ROW(A11)+48,1,1,"3")))</f>
        <v>374059.55800000019</v>
      </c>
      <c r="G381" s="150" t="str">
        <f ca="1">IF(INDIRECT(ADDRESS(ROW('3'!BU$28),COLUMN('3'!BU$6)+ROW(A11)+60,1,1,"3"))="","",INDIRECT(ADDRESS(ROW('3'!BU$28),COLUMN('3'!BU$6)+ROW(A11)+60,1,1,"3")))</f>
        <v/>
      </c>
      <c r="H381" s="150">
        <f t="shared" ca="1" si="47"/>
        <v>11303.867999999784</v>
      </c>
      <c r="I381" s="150">
        <f t="shared" ca="1" si="48"/>
        <v>9234.1800000001676</v>
      </c>
      <c r="J381" s="150" t="str">
        <f t="shared" ca="1" si="49"/>
        <v/>
      </c>
    </row>
    <row r="382" spans="1:10">
      <c r="A382" s="146" t="s">
        <v>214</v>
      </c>
      <c r="B382" s="150">
        <f ca="1">IF(INDIRECT(ADDRESS(ROW('3'!BU$27),COLUMN('3'!BU$6)+ROW(A12)+36,1,1,"3"))="","",INDIRECT(ADDRESS(ROW('3'!BU$27),COLUMN('3'!BU$6)+ROW(A12)+36,1,1,"3")))</f>
        <v>355952.14200000046</v>
      </c>
      <c r="C382" s="150">
        <f ca="1">IF(INDIRECT(ADDRESS(ROW('3'!BU$27),COLUMN('3'!BU$6)+ROW(A12)+48,1,1,"3"))="","",INDIRECT(ADDRESS(ROW('3'!BU$27),COLUMN('3'!BU$6)+ROW(A12)+48,1,1,"3")))</f>
        <v>374702.53699999955</v>
      </c>
      <c r="D382" s="150" t="str">
        <f ca="1">IF(INDIRECT(ADDRESS(ROW('3'!BU$27),COLUMN('3'!BU$6)+ROW(A12)+60,1,1,"3"))="","",INDIRECT(ADDRESS(ROW('3'!BU$27),COLUMN('3'!BU$6)+ROW(A12)+60,1,1,"3")))</f>
        <v/>
      </c>
      <c r="E382" s="150">
        <f ca="1">IF(INDIRECT(ADDRESS(ROW('3'!BU$28),COLUMN('3'!BU$6)+ROW(A12)+36,1,1,"3"))="","",INDIRECT(ADDRESS(ROW('3'!BU$28),COLUMN('3'!BU$6)+ROW(A12)+36,1,1,"3")))</f>
        <v>320964.42699999968</v>
      </c>
      <c r="F382" s="150">
        <f ca="1">IF(INDIRECT(ADDRESS(ROW('3'!BU$28),COLUMN('3'!BU$6)+ROW(A12)+48,1,1,"3"))="","",INDIRECT(ADDRESS(ROW('3'!BU$28),COLUMN('3'!BU$6)+ROW(A12)+48,1,1,"3")))</f>
        <v>378466.3339999998</v>
      </c>
      <c r="G382" s="150" t="str">
        <f ca="1">IF(INDIRECT(ADDRESS(ROW('3'!BU$28),COLUMN('3'!BU$6)+ROW(A12)+60,1,1,"3"))="","",INDIRECT(ADDRESS(ROW('3'!BU$28),COLUMN('3'!BU$6)+ROW(A12)+60,1,1,"3")))</f>
        <v/>
      </c>
      <c r="H382" s="150">
        <f t="shared" ca="1" si="47"/>
        <v>34987.715000000782</v>
      </c>
      <c r="I382" s="150">
        <f t="shared" ca="1" si="48"/>
        <v>-3763.7970000002533</v>
      </c>
      <c r="J382" s="150" t="str">
        <f t="shared" ca="1" si="49"/>
        <v/>
      </c>
    </row>
    <row r="383" spans="1:10">
      <c r="A383" s="159" t="s">
        <v>215</v>
      </c>
      <c r="B383" s="150">
        <f ca="1">SUM(B371:B382)</f>
        <v>4239679.1900000004</v>
      </c>
      <c r="C383" s="150">
        <f ca="1">SUM(C371:C382)</f>
        <v>4649024.5209999997</v>
      </c>
      <c r="D383" s="150">
        <f ca="1">SUM(D371:D382)</f>
        <v>1659809.6772299998</v>
      </c>
      <c r="E383" s="150">
        <f t="shared" ref="E383:G383" ca="1" si="50">SUM(E371:E382)</f>
        <v>3988266.4079999998</v>
      </c>
      <c r="F383" s="150">
        <f t="shared" ca="1" si="50"/>
        <v>4311889.5619999999</v>
      </c>
      <c r="G383" s="150">
        <f t="shared" ca="1" si="50"/>
        <v>1594589.2469399997</v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339" t="s">
        <v>107</v>
      </c>
      <c r="B439" s="340"/>
      <c r="C439" s="340"/>
      <c r="D439" s="340"/>
      <c r="E439" s="340"/>
      <c r="F439" s="340"/>
      <c r="G439" s="340"/>
      <c r="H439" s="340"/>
      <c r="I439" s="340"/>
      <c r="J439" s="341"/>
    </row>
    <row r="440" spans="1:45">
      <c r="A440" s="138" t="s">
        <v>38</v>
      </c>
      <c r="B440" s="337" t="s">
        <v>94</v>
      </c>
      <c r="C440" s="345"/>
      <c r="D440" s="338"/>
      <c r="E440" s="337" t="s">
        <v>95</v>
      </c>
      <c r="F440" s="345"/>
      <c r="G440" s="338"/>
      <c r="H440" s="337" t="s">
        <v>96</v>
      </c>
      <c r="I440" s="345"/>
      <c r="J440" s="338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58">
        <v>2023</v>
      </c>
      <c r="C443" s="158">
        <v>2024</v>
      </c>
      <c r="D443" s="158">
        <v>2025</v>
      </c>
      <c r="E443" s="158">
        <v>2023</v>
      </c>
      <c r="F443" s="158">
        <v>2024</v>
      </c>
      <c r="G443" s="158">
        <v>2025</v>
      </c>
      <c r="H443" s="158">
        <v>2023</v>
      </c>
      <c r="I443" s="158">
        <v>2024</v>
      </c>
      <c r="J443" s="158">
        <v>2025</v>
      </c>
      <c r="M443" s="111" t="s">
        <v>124</v>
      </c>
      <c r="N443" s="284" t="str">
        <f t="shared" ref="N443:N455" si="51">C810</f>
        <v>2020 fakts</v>
      </c>
      <c r="O443" s="284" t="str">
        <f t="shared" ref="O443:O455" si="52">D810</f>
        <v>2021 plāns</v>
      </c>
      <c r="P443" s="284" t="str">
        <f t="shared" ref="P443:P455" si="53">E810</f>
        <v>2021 fakts</v>
      </c>
      <c r="Q443" s="284" t="str">
        <f t="shared" ref="Q443:Q455" si="54">F810</f>
        <v>2022 plāns</v>
      </c>
      <c r="R443" s="284" t="str">
        <f t="shared" ref="R443:R455" si="55">G810</f>
        <v>2022 fakts</v>
      </c>
      <c r="S443" s="284" t="str">
        <f t="shared" ref="S443:S455" si="56">H810</f>
        <v>2023 plāns</v>
      </c>
      <c r="T443" s="284" t="str">
        <f t="shared" ref="T443:V455" si="57">I810</f>
        <v>2023 fakts</v>
      </c>
      <c r="U443" s="284" t="str">
        <f t="shared" si="57"/>
        <v>2024 fakts</v>
      </c>
      <c r="V443" s="284" t="str">
        <f t="shared" si="57"/>
        <v>2025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203</v>
      </c>
      <c r="B444" s="147">
        <f ca="1">IFERROR(B371/T444*100,"")</f>
        <v>0.98230099751828759</v>
      </c>
      <c r="C444" s="147">
        <f ca="1">IFERROR(C371/U444*100,"")</f>
        <v>1.0418723575787221</v>
      </c>
      <c r="D444" s="147">
        <f ca="1">IFERROR(D371/V444*100,"")</f>
        <v>1.114996163799912</v>
      </c>
      <c r="E444" s="147">
        <f ca="1">IFERROR(E371/T444*100,"")</f>
        <v>0.92680433768711801</v>
      </c>
      <c r="F444" s="147">
        <f ca="1">IFERROR(F371/U444*100,"")</f>
        <v>0.95523014003943663</v>
      </c>
      <c r="G444" s="147">
        <f ca="1">IFERROR(G371/V444*100,"")</f>
        <v>0.91775446060226207</v>
      </c>
      <c r="H444" s="147">
        <f ca="1">IFERROR(B444-E444,"")</f>
        <v>5.5496659831169581E-2</v>
      </c>
      <c r="I444" s="147">
        <f ca="1">IFERROR(C444-F444,"")</f>
        <v>8.6642217539285471E-2</v>
      </c>
      <c r="J444" s="147">
        <f ca="1">IFERROR(D444-G444,"")</f>
        <v>0.19724170319764989</v>
      </c>
      <c r="M444" s="283" t="s">
        <v>203</v>
      </c>
      <c r="N444" s="112">
        <f t="shared" si="51"/>
        <v>29224340</v>
      </c>
      <c r="O444" s="112">
        <f t="shared" si="52"/>
        <v>32285300</v>
      </c>
      <c r="P444" s="112">
        <f t="shared" si="53"/>
        <v>32283779</v>
      </c>
      <c r="Q444" s="112">
        <f t="shared" si="54"/>
        <v>36103656</v>
      </c>
      <c r="R444" s="112">
        <f t="shared" si="55"/>
        <v>36099675</v>
      </c>
      <c r="S444" s="112">
        <f t="shared" si="56"/>
        <v>39072483</v>
      </c>
      <c r="T444" s="112">
        <f t="shared" si="57"/>
        <v>39372411</v>
      </c>
      <c r="U444" s="112">
        <f t="shared" si="57"/>
        <v>40208388</v>
      </c>
      <c r="V444" s="112">
        <f t="shared" si="57"/>
        <v>41956681.000200301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204</v>
      </c>
      <c r="B445" s="147">
        <f t="shared" ref="B445:B455" ca="1" si="58">IFERROR(B372/T445*100,"")</f>
        <v>0.8273910937280422</v>
      </c>
      <c r="C445" s="147">
        <f t="shared" ref="C445:C455" ca="1" si="59">IFERROR(C372/U445*100,"")</f>
        <v>0.93393360857938412</v>
      </c>
      <c r="D445" s="147">
        <f t="shared" ref="D445:D455" ca="1" si="60">IFERROR(D372/V445*100,"")</f>
        <v>0.90761450098539032</v>
      </c>
      <c r="E445" s="147">
        <f t="shared" ref="E445:E455" ca="1" si="61">IFERROR(E372/T445*100,"")</f>
        <v>0.86038241346205613</v>
      </c>
      <c r="F445" s="147">
        <f t="shared" ref="F445:F455" ca="1" si="62">IFERROR(F372/U445*100,"")</f>
        <v>0.88261103628426985</v>
      </c>
      <c r="G445" s="147">
        <f t="shared" ref="G445:G455" ca="1" si="63">IFERROR(G372/V445*100,"")</f>
        <v>0.91121703046095248</v>
      </c>
      <c r="H445" s="147">
        <f t="shared" ref="H445:H455" ca="1" si="64">IFERROR(B445-E445,"")</f>
        <v>-3.2991319734013924E-2</v>
      </c>
      <c r="I445" s="147">
        <f t="shared" ref="I445:I455" ca="1" si="65">IFERROR(C445-F445,"")</f>
        <v>5.1322572295114277E-2</v>
      </c>
      <c r="J445" s="147">
        <f t="shared" ref="J445:J455" ca="1" si="66">IFERROR(D445-G445,"")</f>
        <v>-3.6025294755621662E-3</v>
      </c>
      <c r="M445" s="283" t="s">
        <v>204</v>
      </c>
      <c r="N445" s="112">
        <f t="shared" si="51"/>
        <v>29224340</v>
      </c>
      <c r="O445" s="112">
        <f t="shared" si="52"/>
        <v>32285300</v>
      </c>
      <c r="P445" s="112">
        <f t="shared" si="53"/>
        <v>32283779</v>
      </c>
      <c r="Q445" s="112">
        <f t="shared" si="54"/>
        <v>36103656</v>
      </c>
      <c r="R445" s="112">
        <f t="shared" si="55"/>
        <v>36099675</v>
      </c>
      <c r="S445" s="112">
        <f t="shared" si="56"/>
        <v>39072483</v>
      </c>
      <c r="T445" s="112">
        <f t="shared" si="57"/>
        <v>39372411</v>
      </c>
      <c r="U445" s="112">
        <f t="shared" si="57"/>
        <v>40208388</v>
      </c>
      <c r="V445" s="112">
        <f t="shared" si="57"/>
        <v>41956681.000200301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205</v>
      </c>
      <c r="B446" s="147">
        <f t="shared" ca="1" si="58"/>
        <v>0.68410315029983804</v>
      </c>
      <c r="C446" s="147">
        <f t="shared" ca="1" si="59"/>
        <v>0.8826616898941585</v>
      </c>
      <c r="D446" s="147">
        <f t="shared" ca="1" si="60"/>
        <v>0.95173180192230544</v>
      </c>
      <c r="E446" s="147">
        <f t="shared" ca="1" si="61"/>
        <v>0.8790108383253441</v>
      </c>
      <c r="F446" s="147">
        <f t="shared" ca="1" si="62"/>
        <v>0.81357824143559287</v>
      </c>
      <c r="G446" s="147">
        <f t="shared" ca="1" si="63"/>
        <v>0.91045170586342705</v>
      </c>
      <c r="H446" s="147">
        <f t="shared" ca="1" si="64"/>
        <v>-0.19490768802550607</v>
      </c>
      <c r="I446" s="147">
        <f t="shared" ca="1" si="65"/>
        <v>6.9083448458565622E-2</v>
      </c>
      <c r="J446" s="147">
        <f t="shared" ca="1" si="66"/>
        <v>4.1280096058878391E-2</v>
      </c>
      <c r="M446" s="283" t="s">
        <v>205</v>
      </c>
      <c r="N446" s="112">
        <f t="shared" si="51"/>
        <v>29224340</v>
      </c>
      <c r="O446" s="112">
        <f t="shared" si="52"/>
        <v>32285300</v>
      </c>
      <c r="P446" s="112">
        <f t="shared" si="53"/>
        <v>32283779</v>
      </c>
      <c r="Q446" s="112">
        <f t="shared" si="54"/>
        <v>36103656</v>
      </c>
      <c r="R446" s="112">
        <f t="shared" si="55"/>
        <v>36099675</v>
      </c>
      <c r="S446" s="112">
        <f t="shared" si="56"/>
        <v>39072483</v>
      </c>
      <c r="T446" s="112">
        <f t="shared" si="57"/>
        <v>39372411</v>
      </c>
      <c r="U446" s="112">
        <f t="shared" si="57"/>
        <v>40208388</v>
      </c>
      <c r="V446" s="112">
        <f t="shared" si="57"/>
        <v>41956681.000200301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206</v>
      </c>
      <c r="B447" s="147">
        <f t="shared" ca="1" si="58"/>
        <v>0.91065387385090546</v>
      </c>
      <c r="C447" s="147">
        <f t="shared" ca="1" si="59"/>
        <v>1.0401309298945283</v>
      </c>
      <c r="D447" s="147">
        <f t="shared" ca="1" si="60"/>
        <v>0.98166558174140051</v>
      </c>
      <c r="E447" s="147">
        <f t="shared" ca="1" si="61"/>
        <v>0.88848089084511483</v>
      </c>
      <c r="F447" s="147">
        <f t="shared" ca="1" si="62"/>
        <v>0.900126443765913</v>
      </c>
      <c r="G447" s="147">
        <f t="shared" ca="1" si="63"/>
        <v>1.0611377838916149</v>
      </c>
      <c r="H447" s="147">
        <f t="shared" ca="1" si="64"/>
        <v>2.2172983005790625E-2</v>
      </c>
      <c r="I447" s="147">
        <f t="shared" ca="1" si="65"/>
        <v>0.14000448612861527</v>
      </c>
      <c r="J447" s="147">
        <f t="shared" ca="1" si="66"/>
        <v>-7.9472202150214444E-2</v>
      </c>
      <c r="M447" s="283" t="s">
        <v>206</v>
      </c>
      <c r="N447" s="112">
        <f t="shared" si="51"/>
        <v>29224340</v>
      </c>
      <c r="O447" s="112">
        <f t="shared" si="52"/>
        <v>32285300</v>
      </c>
      <c r="P447" s="112">
        <f t="shared" si="53"/>
        <v>32283779</v>
      </c>
      <c r="Q447" s="112">
        <f t="shared" si="54"/>
        <v>36103656</v>
      </c>
      <c r="R447" s="112">
        <f t="shared" si="55"/>
        <v>36099675</v>
      </c>
      <c r="S447" s="112">
        <f t="shared" si="56"/>
        <v>39072483</v>
      </c>
      <c r="T447" s="112">
        <f t="shared" si="57"/>
        <v>39372411</v>
      </c>
      <c r="U447" s="112">
        <f t="shared" si="57"/>
        <v>40208388</v>
      </c>
      <c r="V447" s="112">
        <f t="shared" si="57"/>
        <v>41956681.000200301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207</v>
      </c>
      <c r="B448" s="147">
        <f t="shared" ca="1" si="58"/>
        <v>0.89381700043718382</v>
      </c>
      <c r="C448" s="147">
        <f t="shared" ca="1" si="59"/>
        <v>0.94712004370829295</v>
      </c>
      <c r="D448" s="147" t="str">
        <f t="shared" ca="1" si="60"/>
        <v/>
      </c>
      <c r="E448" s="147">
        <f t="shared" ca="1" si="61"/>
        <v>0.78999947450512953</v>
      </c>
      <c r="F448" s="147">
        <f t="shared" ca="1" si="62"/>
        <v>0.86878756989710693</v>
      </c>
      <c r="G448" s="147" t="str">
        <f t="shared" ca="1" si="63"/>
        <v/>
      </c>
      <c r="H448" s="147">
        <f t="shared" ca="1" si="64"/>
        <v>0.10381752593205429</v>
      </c>
      <c r="I448" s="147">
        <f t="shared" ca="1" si="65"/>
        <v>7.8332473811186021E-2</v>
      </c>
      <c r="J448" s="147" t="str">
        <f t="shared" ca="1" si="66"/>
        <v/>
      </c>
      <c r="M448" s="283" t="s">
        <v>207</v>
      </c>
      <c r="N448" s="112">
        <f t="shared" si="51"/>
        <v>29224340</v>
      </c>
      <c r="O448" s="112">
        <f t="shared" si="52"/>
        <v>32285300</v>
      </c>
      <c r="P448" s="112">
        <f t="shared" si="53"/>
        <v>32283779</v>
      </c>
      <c r="Q448" s="112">
        <f t="shared" si="54"/>
        <v>36103656</v>
      </c>
      <c r="R448" s="112">
        <f t="shared" si="55"/>
        <v>36099675</v>
      </c>
      <c r="S448" s="112">
        <f t="shared" si="56"/>
        <v>39072483</v>
      </c>
      <c r="T448" s="112">
        <f t="shared" si="57"/>
        <v>39372411</v>
      </c>
      <c r="U448" s="112">
        <f t="shared" si="57"/>
        <v>40208388</v>
      </c>
      <c r="V448" s="112">
        <f t="shared" si="57"/>
        <v>41956681.000200301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208</v>
      </c>
      <c r="B449" s="147">
        <f t="shared" ca="1" si="58"/>
        <v>0.92776155364221957</v>
      </c>
      <c r="C449" s="147">
        <f t="shared" ca="1" si="59"/>
        <v>0.95246633612867082</v>
      </c>
      <c r="D449" s="147" t="str">
        <f t="shared" ca="1" si="60"/>
        <v/>
      </c>
      <c r="E449" s="147">
        <f t="shared" ca="1" si="61"/>
        <v>0.83342537494084401</v>
      </c>
      <c r="F449" s="147">
        <f t="shared" ca="1" si="62"/>
        <v>0.86070770357667592</v>
      </c>
      <c r="G449" s="147" t="str">
        <f t="shared" ca="1" si="63"/>
        <v/>
      </c>
      <c r="H449" s="147">
        <f t="shared" ca="1" si="64"/>
        <v>9.4336178701375561E-2</v>
      </c>
      <c r="I449" s="147">
        <f t="shared" ca="1" si="65"/>
        <v>9.1758632551994901E-2</v>
      </c>
      <c r="J449" s="147" t="str">
        <f t="shared" ca="1" si="66"/>
        <v/>
      </c>
      <c r="M449" s="283" t="s">
        <v>208</v>
      </c>
      <c r="N449" s="112">
        <f t="shared" si="51"/>
        <v>29224340</v>
      </c>
      <c r="O449" s="112">
        <f t="shared" si="52"/>
        <v>32285300</v>
      </c>
      <c r="P449" s="112">
        <f t="shared" si="53"/>
        <v>32283779</v>
      </c>
      <c r="Q449" s="112">
        <f t="shared" si="54"/>
        <v>36103656</v>
      </c>
      <c r="R449" s="112">
        <f t="shared" si="55"/>
        <v>36099675</v>
      </c>
      <c r="S449" s="112">
        <f t="shared" si="56"/>
        <v>39072483</v>
      </c>
      <c r="T449" s="112">
        <f t="shared" si="57"/>
        <v>39372411</v>
      </c>
      <c r="U449" s="112">
        <f t="shared" si="57"/>
        <v>40208388</v>
      </c>
      <c r="V449" s="112">
        <f t="shared" si="57"/>
        <v>41956681.000200301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209</v>
      </c>
      <c r="B450" s="147">
        <f t="shared" ca="1" si="58"/>
        <v>0.95384319238158843</v>
      </c>
      <c r="C450" s="147">
        <f t="shared" ca="1" si="59"/>
        <v>0.98142579354337689</v>
      </c>
      <c r="D450" s="147" t="str">
        <f t="shared" ca="1" si="60"/>
        <v/>
      </c>
      <c r="E450" s="147">
        <f t="shared" ca="1" si="61"/>
        <v>0.74655439312568428</v>
      </c>
      <c r="F450" s="147">
        <f t="shared" ca="1" si="62"/>
        <v>0.87664578843598551</v>
      </c>
      <c r="G450" s="147" t="str">
        <f t="shared" ca="1" si="63"/>
        <v/>
      </c>
      <c r="H450" s="147">
        <f t="shared" ca="1" si="64"/>
        <v>0.20728879925590415</v>
      </c>
      <c r="I450" s="147">
        <f t="shared" ca="1" si="65"/>
        <v>0.10478000510739138</v>
      </c>
      <c r="J450" s="147" t="str">
        <f t="shared" ca="1" si="66"/>
        <v/>
      </c>
      <c r="M450" s="283" t="s">
        <v>209</v>
      </c>
      <c r="N450" s="112">
        <f t="shared" si="51"/>
        <v>29224340</v>
      </c>
      <c r="O450" s="112">
        <f t="shared" si="52"/>
        <v>32285300</v>
      </c>
      <c r="P450" s="112">
        <f t="shared" si="53"/>
        <v>32283779</v>
      </c>
      <c r="Q450" s="112">
        <f t="shared" si="54"/>
        <v>36103656</v>
      </c>
      <c r="R450" s="112">
        <f t="shared" si="55"/>
        <v>36099675</v>
      </c>
      <c r="S450" s="112">
        <f t="shared" si="56"/>
        <v>39072483</v>
      </c>
      <c r="T450" s="112">
        <f t="shared" si="57"/>
        <v>39372411</v>
      </c>
      <c r="U450" s="112">
        <f t="shared" si="57"/>
        <v>40208388</v>
      </c>
      <c r="V450" s="112">
        <f t="shared" si="57"/>
        <v>41956681.000200301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210</v>
      </c>
      <c r="B451" s="147">
        <f t="shared" ca="1" si="58"/>
        <v>0.93165874703482199</v>
      </c>
      <c r="C451" s="147">
        <f t="shared" ca="1" si="59"/>
        <v>0.99828634512778791</v>
      </c>
      <c r="D451" s="147" t="str">
        <f t="shared" ca="1" si="60"/>
        <v/>
      </c>
      <c r="E451" s="147">
        <f t="shared" ca="1" si="61"/>
        <v>0.90030321993743234</v>
      </c>
      <c r="F451" s="147">
        <f t="shared" ca="1" si="62"/>
        <v>0.87199333134170987</v>
      </c>
      <c r="G451" s="147" t="str">
        <f t="shared" ca="1" si="63"/>
        <v/>
      </c>
      <c r="H451" s="147">
        <f t="shared" ca="1" si="64"/>
        <v>3.1355527097389646E-2</v>
      </c>
      <c r="I451" s="147">
        <f t="shared" ca="1" si="65"/>
        <v>0.12629301378607805</v>
      </c>
      <c r="J451" s="147" t="str">
        <f t="shared" ca="1" si="66"/>
        <v/>
      </c>
      <c r="M451" s="283" t="s">
        <v>210</v>
      </c>
      <c r="N451" s="112">
        <f t="shared" si="51"/>
        <v>29224340</v>
      </c>
      <c r="O451" s="112">
        <f t="shared" si="52"/>
        <v>32285300</v>
      </c>
      <c r="P451" s="112">
        <f t="shared" si="53"/>
        <v>32283779</v>
      </c>
      <c r="Q451" s="112">
        <f t="shared" si="54"/>
        <v>36103656</v>
      </c>
      <c r="R451" s="112">
        <f t="shared" si="55"/>
        <v>36099675</v>
      </c>
      <c r="S451" s="112">
        <f t="shared" si="56"/>
        <v>39072483</v>
      </c>
      <c r="T451" s="112">
        <f t="shared" si="57"/>
        <v>39372411</v>
      </c>
      <c r="U451" s="112">
        <f t="shared" si="57"/>
        <v>40208388</v>
      </c>
      <c r="V451" s="112">
        <f t="shared" si="57"/>
        <v>41956681.000200301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211</v>
      </c>
      <c r="B452" s="147">
        <f t="shared" ca="1" si="58"/>
        <v>0.93987079175821808</v>
      </c>
      <c r="C452" s="147">
        <f t="shared" ca="1" si="59"/>
        <v>0.91919472623473419</v>
      </c>
      <c r="D452" s="147" t="str">
        <f t="shared" ca="1" si="60"/>
        <v/>
      </c>
      <c r="E452" s="147">
        <f t="shared" ca="1" si="61"/>
        <v>0.75910585968433608</v>
      </c>
      <c r="F452" s="147">
        <f t="shared" ca="1" si="62"/>
        <v>0.88714776628199976</v>
      </c>
      <c r="G452" s="147" t="str">
        <f t="shared" ca="1" si="63"/>
        <v/>
      </c>
      <c r="H452" s="147">
        <f t="shared" ca="1" si="64"/>
        <v>0.180764932073882</v>
      </c>
      <c r="I452" s="147">
        <f t="shared" ca="1" si="65"/>
        <v>3.2046959952734433E-2</v>
      </c>
      <c r="J452" s="147" t="str">
        <f t="shared" ca="1" si="66"/>
        <v/>
      </c>
      <c r="M452" s="283" t="s">
        <v>211</v>
      </c>
      <c r="N452" s="112">
        <f t="shared" si="51"/>
        <v>29224340</v>
      </c>
      <c r="O452" s="112">
        <f t="shared" si="52"/>
        <v>32285300</v>
      </c>
      <c r="P452" s="112">
        <f t="shared" si="53"/>
        <v>32283779</v>
      </c>
      <c r="Q452" s="112">
        <f t="shared" si="54"/>
        <v>36103656</v>
      </c>
      <c r="R452" s="112">
        <f t="shared" si="55"/>
        <v>36099675</v>
      </c>
      <c r="S452" s="112">
        <f t="shared" si="56"/>
        <v>39072483</v>
      </c>
      <c r="T452" s="112">
        <f t="shared" si="57"/>
        <v>39372411</v>
      </c>
      <c r="U452" s="112">
        <f t="shared" si="57"/>
        <v>40208388</v>
      </c>
      <c r="V452" s="112">
        <f t="shared" si="57"/>
        <v>41956681.000200301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212</v>
      </c>
      <c r="B453" s="147">
        <f t="shared" ca="1" si="58"/>
        <v>0.89554956896086435</v>
      </c>
      <c r="C453" s="147">
        <f t="shared" ca="1" si="59"/>
        <v>0.98006370710509461</v>
      </c>
      <c r="D453" s="147" t="str">
        <f t="shared" ca="1" si="60"/>
        <v/>
      </c>
      <c r="E453" s="147">
        <f t="shared" ca="1" si="61"/>
        <v>0.84190618400280282</v>
      </c>
      <c r="F453" s="147">
        <f t="shared" ca="1" si="62"/>
        <v>0.93546337147363401</v>
      </c>
      <c r="G453" s="147" t="str">
        <f t="shared" ca="1" si="63"/>
        <v/>
      </c>
      <c r="H453" s="147">
        <f t="shared" ca="1" si="64"/>
        <v>5.3643384958061535E-2</v>
      </c>
      <c r="I453" s="147">
        <f t="shared" ca="1" si="65"/>
        <v>4.4600335631460597E-2</v>
      </c>
      <c r="J453" s="147" t="str">
        <f t="shared" ca="1" si="66"/>
        <v/>
      </c>
      <c r="M453" s="283" t="s">
        <v>212</v>
      </c>
      <c r="N453" s="112">
        <f t="shared" si="51"/>
        <v>29224340</v>
      </c>
      <c r="O453" s="112">
        <f t="shared" si="52"/>
        <v>32285300</v>
      </c>
      <c r="P453" s="112">
        <f t="shared" si="53"/>
        <v>32283779</v>
      </c>
      <c r="Q453" s="112">
        <f t="shared" si="54"/>
        <v>36103656</v>
      </c>
      <c r="R453" s="112">
        <f t="shared" si="55"/>
        <v>36099675</v>
      </c>
      <c r="S453" s="112">
        <f t="shared" si="56"/>
        <v>39072483</v>
      </c>
      <c r="T453" s="112">
        <f t="shared" si="57"/>
        <v>39372411</v>
      </c>
      <c r="U453" s="112">
        <f t="shared" si="57"/>
        <v>40208388</v>
      </c>
      <c r="V453" s="112">
        <f t="shared" si="57"/>
        <v>41956681.000200301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213</v>
      </c>
      <c r="B454" s="147">
        <f t="shared" ca="1" si="58"/>
        <v>0.9171323899874968</v>
      </c>
      <c r="C454" s="147">
        <f t="shared" ca="1" si="59"/>
        <v>0.9532681041577703</v>
      </c>
      <c r="D454" s="147" t="str">
        <f t="shared" ca="1" si="60"/>
        <v/>
      </c>
      <c r="E454" s="147">
        <f t="shared" ca="1" si="61"/>
        <v>0.888422266038014</v>
      </c>
      <c r="F454" s="147">
        <f t="shared" ca="1" si="62"/>
        <v>0.93030229911231499</v>
      </c>
      <c r="G454" s="147" t="str">
        <f t="shared" ca="1" si="63"/>
        <v/>
      </c>
      <c r="H454" s="147">
        <f t="shared" ca="1" si="64"/>
        <v>2.8710123949482802E-2</v>
      </c>
      <c r="I454" s="147">
        <f t="shared" ca="1" si="65"/>
        <v>2.2965805045455312E-2</v>
      </c>
      <c r="J454" s="147" t="str">
        <f t="shared" ca="1" si="66"/>
        <v/>
      </c>
      <c r="M454" s="283" t="s">
        <v>213</v>
      </c>
      <c r="N454" s="112">
        <f t="shared" si="51"/>
        <v>29224340</v>
      </c>
      <c r="O454" s="112">
        <f t="shared" si="52"/>
        <v>32285300</v>
      </c>
      <c r="P454" s="112">
        <f t="shared" si="53"/>
        <v>32283779</v>
      </c>
      <c r="Q454" s="112">
        <f t="shared" si="54"/>
        <v>36103656</v>
      </c>
      <c r="R454" s="112">
        <f t="shared" si="55"/>
        <v>36099675</v>
      </c>
      <c r="S454" s="112">
        <f t="shared" si="56"/>
        <v>39072483</v>
      </c>
      <c r="T454" s="112">
        <f t="shared" si="57"/>
        <v>39372411</v>
      </c>
      <c r="U454" s="112">
        <f t="shared" si="57"/>
        <v>40208388</v>
      </c>
      <c r="V454" s="112">
        <f t="shared" si="57"/>
        <v>41956681.000200301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214</v>
      </c>
      <c r="B455" s="147">
        <f t="shared" ca="1" si="58"/>
        <v>0.90406488441868715</v>
      </c>
      <c r="C455" s="147">
        <f t="shared" ca="1" si="59"/>
        <v>0.93190141569465446</v>
      </c>
      <c r="D455" s="147" t="str">
        <f t="shared" ca="1" si="60"/>
        <v/>
      </c>
      <c r="E455" s="147">
        <f t="shared" ca="1" si="61"/>
        <v>0.81520135254099546</v>
      </c>
      <c r="F455" s="147">
        <f t="shared" ca="1" si="62"/>
        <v>0.94126214162079758</v>
      </c>
      <c r="G455" s="147" t="str">
        <f t="shared" ca="1" si="63"/>
        <v/>
      </c>
      <c r="H455" s="147">
        <f t="shared" ca="1" si="64"/>
        <v>8.8863531877691693E-2</v>
      </c>
      <c r="I455" s="147">
        <f t="shared" ca="1" si="65"/>
        <v>-9.3607259261431208E-3</v>
      </c>
      <c r="J455" s="147" t="str">
        <f t="shared" ca="1" si="66"/>
        <v/>
      </c>
      <c r="M455" s="283" t="s">
        <v>214</v>
      </c>
      <c r="N455" s="112">
        <f t="shared" si="51"/>
        <v>29224340</v>
      </c>
      <c r="O455" s="112">
        <f t="shared" si="52"/>
        <v>32285300</v>
      </c>
      <c r="P455" s="112">
        <f t="shared" si="53"/>
        <v>32283779</v>
      </c>
      <c r="Q455" s="112">
        <f t="shared" si="54"/>
        <v>36103656</v>
      </c>
      <c r="R455" s="112">
        <f t="shared" si="55"/>
        <v>36099675</v>
      </c>
      <c r="S455" s="112">
        <f t="shared" si="56"/>
        <v>39072483</v>
      </c>
      <c r="T455" s="112">
        <f t="shared" si="57"/>
        <v>39372411</v>
      </c>
      <c r="U455" s="112">
        <f t="shared" si="57"/>
        <v>40208388</v>
      </c>
      <c r="V455" s="112">
        <f t="shared" si="57"/>
        <v>41956681.000200301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215</v>
      </c>
      <c r="B456" s="147">
        <f t="shared" ref="B456:G456" ca="1" si="67">SUM(B444:B455)</f>
        <v>10.768147244018154</v>
      </c>
      <c r="C456" s="147">
        <f t="shared" ca="1" si="67"/>
        <v>11.562325057647174</v>
      </c>
      <c r="D456" s="147">
        <f t="shared" ca="1" si="67"/>
        <v>3.9560080484490081</v>
      </c>
      <c r="E456" s="147">
        <f t="shared" ca="1" si="67"/>
        <v>10.129596605094871</v>
      </c>
      <c r="F456" s="147">
        <f t="shared" ca="1" si="67"/>
        <v>10.723855833265437</v>
      </c>
      <c r="G456" s="147">
        <f t="shared" ca="1" si="67"/>
        <v>3.8005609808182568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339" t="s">
        <v>129</v>
      </c>
      <c r="B512" s="340"/>
      <c r="C512" s="340"/>
      <c r="D512" s="340"/>
      <c r="E512" s="340"/>
      <c r="F512" s="340"/>
      <c r="G512" s="340"/>
      <c r="H512" s="340"/>
      <c r="I512" s="340"/>
      <c r="J512" s="341"/>
    </row>
    <row r="513" spans="1:10" ht="15" customHeight="1">
      <c r="A513" s="138" t="s">
        <v>38</v>
      </c>
      <c r="B513" s="342" t="s">
        <v>90</v>
      </c>
      <c r="C513" s="343"/>
      <c r="D513" s="344"/>
      <c r="E513" s="342" t="s">
        <v>91</v>
      </c>
      <c r="F513" s="343"/>
      <c r="G513" s="344"/>
      <c r="H513" s="342" t="s">
        <v>92</v>
      </c>
      <c r="I513" s="343"/>
      <c r="J513" s="344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58">
        <v>2023</v>
      </c>
      <c r="C516" s="158">
        <v>2024</v>
      </c>
      <c r="D516" s="158">
        <v>2025</v>
      </c>
      <c r="E516" s="158">
        <v>2023</v>
      </c>
      <c r="F516" s="158">
        <v>2024</v>
      </c>
      <c r="G516" s="158">
        <v>2025</v>
      </c>
      <c r="H516" s="158">
        <v>2023</v>
      </c>
      <c r="I516" s="158">
        <v>2024</v>
      </c>
      <c r="J516" s="158">
        <v>2025</v>
      </c>
    </row>
    <row r="517" spans="1:10">
      <c r="A517" s="146" t="s">
        <v>203</v>
      </c>
      <c r="B517" s="150">
        <f t="shared" ref="B517:G517" ca="1" si="68">IFERROR(B225+B371,"")</f>
        <v>1106694.936</v>
      </c>
      <c r="C517" s="150">
        <f t="shared" ca="1" si="68"/>
        <v>1340794.0930000001</v>
      </c>
      <c r="D517" s="150">
        <f t="shared" ca="1" si="68"/>
        <v>1289039.9132099999</v>
      </c>
      <c r="E517" s="150">
        <f t="shared" ca="1" si="68"/>
        <v>979490.84499999997</v>
      </c>
      <c r="F517" s="150">
        <f t="shared" ca="1" si="68"/>
        <v>1193977.0490000001</v>
      </c>
      <c r="G517" s="150">
        <f t="shared" ca="1" si="68"/>
        <v>1332282.7831400002</v>
      </c>
      <c r="H517" s="150">
        <f ca="1">IFERROR(B517-E517,"")</f>
        <v>127204.09100000001</v>
      </c>
      <c r="I517" s="150">
        <f ca="1">IFERROR(C517-F517,"")</f>
        <v>146817.04399999999</v>
      </c>
      <c r="J517" s="150">
        <f ca="1">IFERROR(D517-G517,"")</f>
        <v>-43242.869930000277</v>
      </c>
    </row>
    <row r="518" spans="1:10">
      <c r="A518" s="146" t="s">
        <v>204</v>
      </c>
      <c r="B518" s="150">
        <f t="shared" ref="B518:G528" ca="1" si="69">IFERROR(B226+B372,"")</f>
        <v>1117281.777</v>
      </c>
      <c r="C518" s="150">
        <f t="shared" ca="1" si="69"/>
        <v>1121021.341</v>
      </c>
      <c r="D518" s="150">
        <f t="shared" ca="1" si="69"/>
        <v>1225923.0593699999</v>
      </c>
      <c r="E518" s="150">
        <f t="shared" ca="1" si="69"/>
        <v>1241845.152</v>
      </c>
      <c r="F518" s="150">
        <f t="shared" ca="1" si="69"/>
        <v>1234636.1969999999</v>
      </c>
      <c r="G518" s="150">
        <f t="shared" ca="1" si="69"/>
        <v>1374514.3519099997</v>
      </c>
      <c r="H518" s="150">
        <f t="shared" ref="H518:H528" ca="1" si="70">IFERROR(B518-E518,"")</f>
        <v>-124563.375</v>
      </c>
      <c r="I518" s="150">
        <f t="shared" ref="I518:I528" ca="1" si="71">IFERROR(C518-F518,"")</f>
        <v>-113614.85599999991</v>
      </c>
      <c r="J518" s="150">
        <f t="shared" ref="J518:J528" ca="1" si="72">IFERROR(D518-G518,"")</f>
        <v>-148591.29253999982</v>
      </c>
    </row>
    <row r="519" spans="1:10">
      <c r="A519" s="146" t="s">
        <v>205</v>
      </c>
      <c r="B519" s="150">
        <f t="shared" ca="1" si="69"/>
        <v>802572.11800000013</v>
      </c>
      <c r="C519" s="150">
        <f t="shared" ca="1" si="69"/>
        <v>1056767.5860000001</v>
      </c>
      <c r="D519" s="150">
        <f t="shared" ca="1" si="69"/>
        <v>940758.0925200003</v>
      </c>
      <c r="E519" s="150">
        <f t="shared" ca="1" si="69"/>
        <v>1147758.3480000002</v>
      </c>
      <c r="F519" s="150">
        <f t="shared" ca="1" si="69"/>
        <v>1132798.622</v>
      </c>
      <c r="G519" s="150">
        <f t="shared" ca="1" si="69"/>
        <v>1417649.8506499997</v>
      </c>
      <c r="H519" s="150">
        <f t="shared" ca="1" si="70"/>
        <v>-345186.2300000001</v>
      </c>
      <c r="I519" s="150">
        <f t="shared" ca="1" si="71"/>
        <v>-76031.035999999847</v>
      </c>
      <c r="J519" s="150">
        <f t="shared" ca="1" si="72"/>
        <v>-476891.75812999939</v>
      </c>
    </row>
    <row r="520" spans="1:10">
      <c r="A520" s="146" t="s">
        <v>206</v>
      </c>
      <c r="B520" s="150">
        <f t="shared" ca="1" si="69"/>
        <v>1254540.122</v>
      </c>
      <c r="C520" s="150">
        <f t="shared" ca="1" si="69"/>
        <v>1246954.0309999995</v>
      </c>
      <c r="D520" s="150">
        <f t="shared" ca="1" si="69"/>
        <v>1222043.2606399998</v>
      </c>
      <c r="E520" s="150">
        <f t="shared" ca="1" si="69"/>
        <v>1165647.2490000001</v>
      </c>
      <c r="F520" s="150">
        <f t="shared" ca="1" si="69"/>
        <v>1438314.5840000003</v>
      </c>
      <c r="G520" s="150">
        <f t="shared" ca="1" si="69"/>
        <v>1473316.11305</v>
      </c>
      <c r="H520" s="150">
        <f t="shared" ca="1" si="70"/>
        <v>88892.872999999905</v>
      </c>
      <c r="I520" s="150">
        <f t="shared" ca="1" si="71"/>
        <v>-191360.55300000077</v>
      </c>
      <c r="J520" s="150">
        <f t="shared" ca="1" si="72"/>
        <v>-251272.85241000028</v>
      </c>
    </row>
    <row r="521" spans="1:10">
      <c r="A521" s="146" t="s">
        <v>207</v>
      </c>
      <c r="B521" s="150">
        <f t="shared" ca="1" si="69"/>
        <v>1197075.2149999999</v>
      </c>
      <c r="C521" s="150">
        <f t="shared" ca="1" si="69"/>
        <v>1493709.7039999999</v>
      </c>
      <c r="D521" s="150" t="str">
        <f t="shared" ca="1" si="69"/>
        <v/>
      </c>
      <c r="E521" s="150">
        <f t="shared" ca="1" si="69"/>
        <v>1086477.0369999995</v>
      </c>
      <c r="F521" s="150">
        <f t="shared" ca="1" si="69"/>
        <v>1133118.6510000001</v>
      </c>
      <c r="G521" s="150" t="str">
        <f t="shared" ca="1" si="69"/>
        <v/>
      </c>
      <c r="H521" s="150">
        <f t="shared" ca="1" si="70"/>
        <v>110598.17800000031</v>
      </c>
      <c r="I521" s="150">
        <f t="shared" ca="1" si="71"/>
        <v>360591.05299999984</v>
      </c>
      <c r="J521" s="150" t="str">
        <f t="shared" ca="1" si="72"/>
        <v/>
      </c>
    </row>
    <row r="522" spans="1:10">
      <c r="A522" s="146" t="s">
        <v>208</v>
      </c>
      <c r="B522" s="150">
        <f t="shared" ca="1" si="69"/>
        <v>1125656.105</v>
      </c>
      <c r="C522" s="150">
        <f t="shared" ca="1" si="69"/>
        <v>1597372.7190000003</v>
      </c>
      <c r="D522" s="150" t="str">
        <f t="shared" ca="1" si="69"/>
        <v/>
      </c>
      <c r="E522" s="150">
        <f t="shared" ca="1" si="69"/>
        <v>1200332.5080000006</v>
      </c>
      <c r="F522" s="150">
        <f t="shared" ca="1" si="69"/>
        <v>1259409.7589999994</v>
      </c>
      <c r="G522" s="150" t="str">
        <f t="shared" ca="1" si="69"/>
        <v/>
      </c>
      <c r="H522" s="150">
        <f t="shared" ca="1" si="70"/>
        <v>-74676.403000000631</v>
      </c>
      <c r="I522" s="150">
        <f t="shared" ca="1" si="71"/>
        <v>337962.96000000089</v>
      </c>
      <c r="J522" s="150" t="str">
        <f t="shared" ca="1" si="72"/>
        <v/>
      </c>
    </row>
    <row r="523" spans="1:10">
      <c r="A523" s="146" t="s">
        <v>209</v>
      </c>
      <c r="B523" s="150">
        <f t="shared" ca="1" si="69"/>
        <v>1247090.9460000002</v>
      </c>
      <c r="C523" s="150">
        <f t="shared" ca="1" si="69"/>
        <v>1270858.8750000005</v>
      </c>
      <c r="D523" s="150" t="str">
        <f t="shared" ca="1" si="69"/>
        <v/>
      </c>
      <c r="E523" s="150">
        <f t="shared" ca="1" si="69"/>
        <v>1069038.7710000002</v>
      </c>
      <c r="F523" s="150">
        <f t="shared" ca="1" si="69"/>
        <v>1272382.4909999999</v>
      </c>
      <c r="G523" s="150" t="str">
        <f t="shared" ca="1" si="69"/>
        <v/>
      </c>
      <c r="H523" s="150">
        <f t="shared" ca="1" si="70"/>
        <v>178052.17500000005</v>
      </c>
      <c r="I523" s="150">
        <f t="shared" ca="1" si="71"/>
        <v>-1523.6159999994561</v>
      </c>
      <c r="J523" s="150" t="str">
        <f t="shared" ca="1" si="72"/>
        <v/>
      </c>
    </row>
    <row r="524" spans="1:10">
      <c r="A524" s="146" t="s">
        <v>210</v>
      </c>
      <c r="B524" s="150">
        <f t="shared" ca="1" si="69"/>
        <v>1044839.2579999999</v>
      </c>
      <c r="C524" s="150">
        <f t="shared" ca="1" si="69"/>
        <v>1116827.8289999999</v>
      </c>
      <c r="D524" s="150" t="str">
        <f t="shared" ca="1" si="69"/>
        <v/>
      </c>
      <c r="E524" s="150">
        <f t="shared" ca="1" si="69"/>
        <v>1059055.2399999993</v>
      </c>
      <c r="F524" s="150">
        <f t="shared" ca="1" si="69"/>
        <v>1081909.3200000003</v>
      </c>
      <c r="G524" s="150" t="str">
        <f t="shared" ca="1" si="69"/>
        <v/>
      </c>
      <c r="H524" s="150">
        <f t="shared" ca="1" si="70"/>
        <v>-14215.981999999378</v>
      </c>
      <c r="I524" s="150">
        <f t="shared" ca="1" si="71"/>
        <v>34918.508999999613</v>
      </c>
      <c r="J524" s="150" t="str">
        <f t="shared" ca="1" si="72"/>
        <v/>
      </c>
    </row>
    <row r="525" spans="1:10">
      <c r="A525" s="146" t="s">
        <v>211</v>
      </c>
      <c r="B525" s="150">
        <f t="shared" ca="1" si="69"/>
        <v>1048693.5830000001</v>
      </c>
      <c r="C525" s="150">
        <f t="shared" ca="1" si="69"/>
        <v>1053875.9029999995</v>
      </c>
      <c r="D525" s="150" t="str">
        <f t="shared" ca="1" si="69"/>
        <v/>
      </c>
      <c r="E525" s="150">
        <f t="shared" ca="1" si="69"/>
        <v>1042251.9680000003</v>
      </c>
      <c r="F525" s="150">
        <f t="shared" ca="1" si="69"/>
        <v>1116209.4989999998</v>
      </c>
      <c r="G525" s="150" t="str">
        <f t="shared" ca="1" si="69"/>
        <v/>
      </c>
      <c r="H525" s="150">
        <f t="shared" ca="1" si="70"/>
        <v>6441.6149999997579</v>
      </c>
      <c r="I525" s="150">
        <f t="shared" ca="1" si="71"/>
        <v>-62333.596000000369</v>
      </c>
      <c r="J525" s="150" t="str">
        <f t="shared" ca="1" si="72"/>
        <v/>
      </c>
    </row>
    <row r="526" spans="1:10">
      <c r="A526" s="146" t="s">
        <v>212</v>
      </c>
      <c r="B526" s="150">
        <f t="shared" ca="1" si="69"/>
        <v>1042398.9870000002</v>
      </c>
      <c r="C526" s="150">
        <f t="shared" ca="1" si="69"/>
        <v>1079458.1700000009</v>
      </c>
      <c r="D526" s="150" t="str">
        <f t="shared" ca="1" si="69"/>
        <v/>
      </c>
      <c r="E526" s="150">
        <f t="shared" ca="1" si="69"/>
        <v>1274735.4699999993</v>
      </c>
      <c r="F526" s="150">
        <f t="shared" ca="1" si="69"/>
        <v>1380461.3090000008</v>
      </c>
      <c r="G526" s="150" t="str">
        <f t="shared" ca="1" si="69"/>
        <v/>
      </c>
      <c r="H526" s="150">
        <f t="shared" ca="1" si="70"/>
        <v>-232336.48299999908</v>
      </c>
      <c r="I526" s="150">
        <f t="shared" ca="1" si="71"/>
        <v>-301003.13899999997</v>
      </c>
      <c r="J526" s="150" t="str">
        <f t="shared" ca="1" si="72"/>
        <v/>
      </c>
    </row>
    <row r="527" spans="1:10">
      <c r="A527" s="146" t="s">
        <v>213</v>
      </c>
      <c r="B527" s="150">
        <f t="shared" ca="1" si="69"/>
        <v>1138266.5559999994</v>
      </c>
      <c r="C527" s="150">
        <f t="shared" ca="1" si="69"/>
        <v>1022727.3329999992</v>
      </c>
      <c r="D527" s="150" t="str">
        <f t="shared" ca="1" si="69"/>
        <v/>
      </c>
      <c r="E527" s="150">
        <f t="shared" ca="1" si="69"/>
        <v>1214492.2050000015</v>
      </c>
      <c r="F527" s="150">
        <f t="shared" ca="1" si="69"/>
        <v>1261670.5099999998</v>
      </c>
      <c r="G527" s="150" t="str">
        <f t="shared" ca="1" si="69"/>
        <v/>
      </c>
      <c r="H527" s="150">
        <f t="shared" ca="1" si="70"/>
        <v>-76225.649000002071</v>
      </c>
      <c r="I527" s="150">
        <f t="shared" ca="1" si="71"/>
        <v>-238943.17700000061</v>
      </c>
      <c r="J527" s="150" t="str">
        <f t="shared" ca="1" si="72"/>
        <v/>
      </c>
    </row>
    <row r="528" spans="1:10">
      <c r="A528" s="146" t="s">
        <v>214</v>
      </c>
      <c r="B528" s="150">
        <f t="shared" ca="1" si="69"/>
        <v>1154996.5850000004</v>
      </c>
      <c r="C528" s="150">
        <f t="shared" ca="1" si="69"/>
        <v>1252065.7619999992</v>
      </c>
      <c r="D528" s="150" t="str">
        <f t="shared" ca="1" si="69"/>
        <v/>
      </c>
      <c r="E528" s="150">
        <f t="shared" ca="1" si="69"/>
        <v>2078569.3149999981</v>
      </c>
      <c r="F528" s="150">
        <f t="shared" ca="1" si="69"/>
        <v>1893029.737999999</v>
      </c>
      <c r="G528" s="150" t="str">
        <f t="shared" ca="1" si="69"/>
        <v/>
      </c>
      <c r="H528" s="150">
        <f t="shared" ca="1" si="70"/>
        <v>-923572.72999999765</v>
      </c>
      <c r="I528" s="150">
        <f t="shared" ca="1" si="71"/>
        <v>-640963.97599999979</v>
      </c>
      <c r="J528" s="150" t="str">
        <f t="shared" ca="1" si="72"/>
        <v/>
      </c>
    </row>
    <row r="529" spans="1:10">
      <c r="A529" s="159" t="s">
        <v>215</v>
      </c>
      <c r="B529" s="150">
        <f t="shared" ref="B529:G529" ca="1" si="73">SUM(B517:B528)</f>
        <v>13280106.188000001</v>
      </c>
      <c r="C529" s="150">
        <f t="shared" ca="1" si="73"/>
        <v>14652433.346000001</v>
      </c>
      <c r="D529" s="150">
        <f t="shared" ca="1" si="73"/>
        <v>4677764.3257400002</v>
      </c>
      <c r="E529" s="150">
        <f t="shared" ca="1" si="73"/>
        <v>14559694.107999997</v>
      </c>
      <c r="F529" s="150">
        <f t="shared" ca="1" si="73"/>
        <v>15397917.728999998</v>
      </c>
      <c r="G529" s="150">
        <f t="shared" ca="1" si="73"/>
        <v>5597763.098749999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339" t="s">
        <v>139</v>
      </c>
      <c r="B584" s="340"/>
      <c r="C584" s="340"/>
      <c r="D584" s="340"/>
      <c r="E584" s="340"/>
      <c r="F584" s="340"/>
      <c r="G584" s="340"/>
      <c r="H584" s="340"/>
      <c r="I584" s="340"/>
      <c r="J584" s="341"/>
    </row>
    <row r="585" spans="1:10">
      <c r="A585" s="138" t="s">
        <v>38</v>
      </c>
      <c r="B585" s="342" t="s">
        <v>94</v>
      </c>
      <c r="C585" s="343"/>
      <c r="D585" s="344"/>
      <c r="E585" s="342" t="s">
        <v>95</v>
      </c>
      <c r="F585" s="343"/>
      <c r="G585" s="344"/>
      <c r="H585" s="342" t="s">
        <v>96</v>
      </c>
      <c r="I585" s="343"/>
      <c r="J585" s="344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58">
        <v>2023</v>
      </c>
      <c r="C588" s="158">
        <v>2024</v>
      </c>
      <c r="D588" s="158">
        <v>2025</v>
      </c>
      <c r="E588" s="158">
        <v>2023</v>
      </c>
      <c r="F588" s="158">
        <v>2024</v>
      </c>
      <c r="G588" s="158">
        <v>2025</v>
      </c>
      <c r="H588" s="158">
        <v>2023</v>
      </c>
      <c r="I588" s="158">
        <v>2024</v>
      </c>
      <c r="J588" s="158">
        <v>2025</v>
      </c>
    </row>
    <row r="589" spans="1:10">
      <c r="A589" s="146" t="s">
        <v>203</v>
      </c>
      <c r="B589" s="147">
        <f t="shared" ref="B589:G589" ca="1" si="74">IFERROR(B298+B444,"")</f>
        <v>2.8108386250463555</v>
      </c>
      <c r="C589" s="147">
        <f t="shared" ca="1" si="74"/>
        <v>3.3346128996765554</v>
      </c>
      <c r="D589" s="147">
        <f t="shared" ca="1" si="74"/>
        <v>3.0723114471419843</v>
      </c>
      <c r="E589" s="147">
        <f t="shared" ca="1" si="74"/>
        <v>2.4877593729274032</v>
      </c>
      <c r="F589" s="147">
        <f t="shared" ca="1" si="74"/>
        <v>2.9694725612974091</v>
      </c>
      <c r="G589" s="147">
        <f t="shared" ca="1" si="74"/>
        <v>3.1753769635249265</v>
      </c>
      <c r="H589" s="147">
        <f ca="1">IFERROR(B589-E589,"")</f>
        <v>0.32307925211895228</v>
      </c>
      <c r="I589" s="147">
        <f ca="1">IFERROR(C589-F589,"")</f>
        <v>0.36514033837914628</v>
      </c>
      <c r="J589" s="147">
        <f ca="1">IFERROR(D589-G589,"")</f>
        <v>-0.10306551638294215</v>
      </c>
    </row>
    <row r="590" spans="1:10">
      <c r="A590" s="146" t="s">
        <v>204</v>
      </c>
      <c r="B590" s="147">
        <f t="shared" ref="B590:B600" ca="1" si="75">IFERROR(B299+B445,"")</f>
        <v>2.8377276082991205</v>
      </c>
      <c r="C590" s="147">
        <f t="shared" ref="C590:G600" ca="1" si="76">IFERROR(C299+C445,"")</f>
        <v>2.7880285601103934</v>
      </c>
      <c r="D590" s="147">
        <f t="shared" ca="1" si="76"/>
        <v>2.92187806600848</v>
      </c>
      <c r="E590" s="147">
        <f t="shared" ca="1" si="76"/>
        <v>3.1540998390979915</v>
      </c>
      <c r="F590" s="147">
        <f t="shared" ca="1" si="76"/>
        <v>3.0705936209131286</v>
      </c>
      <c r="G590" s="147">
        <f t="shared" ca="1" si="76"/>
        <v>3.2760321339608298</v>
      </c>
      <c r="H590" s="147">
        <f t="shared" ref="H590:H600" ca="1" si="77">IFERROR(B590-E590,"")</f>
        <v>-0.316372230798871</v>
      </c>
      <c r="I590" s="147">
        <f t="shared" ref="I590:I600" ca="1" si="78">IFERROR(C590-F590,"")</f>
        <v>-0.28256506080273525</v>
      </c>
      <c r="J590" s="147">
        <f t="shared" ref="J590:J600" ca="1" si="79">IFERROR(D590-G590,"")</f>
        <v>-0.35415406795234983</v>
      </c>
    </row>
    <row r="591" spans="1:10">
      <c r="A591" s="146" t="s">
        <v>205</v>
      </c>
      <c r="B591" s="147">
        <f t="shared" ca="1" si="75"/>
        <v>2.0384124253909679</v>
      </c>
      <c r="C591" s="147">
        <f t="shared" ca="1" si="76"/>
        <v>2.628226692400601</v>
      </c>
      <c r="D591" s="147">
        <f t="shared" ca="1" si="76"/>
        <v>2.2422128492849782</v>
      </c>
      <c r="E591" s="147">
        <f t="shared" ca="1" si="76"/>
        <v>2.9151335131597609</v>
      </c>
      <c r="F591" s="147">
        <f t="shared" ca="1" si="76"/>
        <v>2.8173191673339404</v>
      </c>
      <c r="G591" s="147">
        <f t="shared" ca="1" si="76"/>
        <v>3.3788417407068776</v>
      </c>
      <c r="H591" s="147">
        <f t="shared" ca="1" si="77"/>
        <v>-0.87672108776879298</v>
      </c>
      <c r="I591" s="147">
        <f t="shared" ca="1" si="78"/>
        <v>-0.18909247493333936</v>
      </c>
      <c r="J591" s="147">
        <f t="shared" ca="1" si="79"/>
        <v>-1.1366288914218994</v>
      </c>
    </row>
    <row r="592" spans="1:10">
      <c r="A592" s="146" t="s">
        <v>206</v>
      </c>
      <c r="B592" s="147">
        <f t="shared" ca="1" si="75"/>
        <v>3.1863431528234321</v>
      </c>
      <c r="C592" s="147">
        <f t="shared" ca="1" si="76"/>
        <v>3.1012286068270125</v>
      </c>
      <c r="D592" s="147">
        <f t="shared" ca="1" si="76"/>
        <v>2.9126309124264758</v>
      </c>
      <c r="E592" s="147">
        <f t="shared" ca="1" si="76"/>
        <v>2.9605686301506915</v>
      </c>
      <c r="F592" s="147">
        <f t="shared" ca="1" si="76"/>
        <v>3.5771505786305093</v>
      </c>
      <c r="G592" s="147">
        <f t="shared" ca="1" si="76"/>
        <v>3.5115173029128934</v>
      </c>
      <c r="H592" s="147">
        <f t="shared" ca="1" si="77"/>
        <v>0.22577452267274056</v>
      </c>
      <c r="I592" s="147">
        <f t="shared" ca="1" si="78"/>
        <v>-0.47592197180349682</v>
      </c>
      <c r="J592" s="147">
        <f t="shared" ca="1" si="79"/>
        <v>-0.59888639048641767</v>
      </c>
    </row>
    <row r="593" spans="1:10">
      <c r="A593" s="146" t="s">
        <v>207</v>
      </c>
      <c r="B593" s="147">
        <f t="shared" ca="1" si="75"/>
        <v>3.040390935165235</v>
      </c>
      <c r="C593" s="147">
        <f t="shared" ca="1" si="76"/>
        <v>3.7149206379524586</v>
      </c>
      <c r="D593" s="147" t="str">
        <f t="shared" ca="1" si="76"/>
        <v/>
      </c>
      <c r="E593" s="147">
        <f t="shared" ca="1" si="76"/>
        <v>2.759488203554513</v>
      </c>
      <c r="F593" s="147">
        <f t="shared" ca="1" si="76"/>
        <v>2.8181150932984433</v>
      </c>
      <c r="G593" s="147" t="str">
        <f t="shared" ca="1" si="76"/>
        <v/>
      </c>
      <c r="H593" s="147">
        <f t="shared" ca="1" si="77"/>
        <v>0.28090273161072199</v>
      </c>
      <c r="I593" s="147">
        <f t="shared" ca="1" si="78"/>
        <v>0.8968055446540153</v>
      </c>
      <c r="J593" s="147" t="str">
        <f t="shared" ca="1" si="79"/>
        <v/>
      </c>
    </row>
    <row r="594" spans="1:10">
      <c r="A594" s="146" t="s">
        <v>208</v>
      </c>
      <c r="B594" s="147">
        <f t="shared" ca="1" si="75"/>
        <v>2.8589971414247399</v>
      </c>
      <c r="C594" s="147">
        <f t="shared" ca="1" si="76"/>
        <v>3.9727350397633456</v>
      </c>
      <c r="D594" s="147" t="str">
        <f t="shared" ca="1" si="76"/>
        <v/>
      </c>
      <c r="E594" s="147">
        <f t="shared" ca="1" si="76"/>
        <v>3.0486639692956592</v>
      </c>
      <c r="F594" s="147">
        <f t="shared" ca="1" si="76"/>
        <v>3.132206541082919</v>
      </c>
      <c r="G594" s="147" t="str">
        <f t="shared" ca="1" si="76"/>
        <v/>
      </c>
      <c r="H594" s="147">
        <f t="shared" ca="1" si="77"/>
        <v>-0.18966682787091926</v>
      </c>
      <c r="I594" s="147">
        <f t="shared" ca="1" si="78"/>
        <v>0.84052849868042667</v>
      </c>
      <c r="J594" s="147" t="str">
        <f t="shared" ca="1" si="79"/>
        <v/>
      </c>
    </row>
    <row r="595" spans="1:10">
      <c r="A595" s="146" t="s">
        <v>209</v>
      </c>
      <c r="B595" s="147">
        <f t="shared" ca="1" si="75"/>
        <v>3.1674233665802185</v>
      </c>
      <c r="C595" s="147">
        <f t="shared" ca="1" si="76"/>
        <v>3.1606809877580782</v>
      </c>
      <c r="D595" s="147" t="str">
        <f t="shared" ca="1" si="76"/>
        <v/>
      </c>
      <c r="E595" s="147">
        <f t="shared" ca="1" si="76"/>
        <v>2.7151976316614195</v>
      </c>
      <c r="F595" s="147">
        <f t="shared" ca="1" si="76"/>
        <v>3.164470286647652</v>
      </c>
      <c r="G595" s="147" t="str">
        <f t="shared" ca="1" si="76"/>
        <v/>
      </c>
      <c r="H595" s="147">
        <f t="shared" ca="1" si="77"/>
        <v>0.45222573491879903</v>
      </c>
      <c r="I595" s="147">
        <f t="shared" ca="1" si="78"/>
        <v>-3.7892988895738E-3</v>
      </c>
      <c r="J595" s="147" t="str">
        <f t="shared" ca="1" si="79"/>
        <v/>
      </c>
    </row>
    <row r="596" spans="1:10">
      <c r="A596" s="146" t="s">
        <v>210</v>
      </c>
      <c r="B596" s="147">
        <f t="shared" ca="1" si="75"/>
        <v>2.6537345096798872</v>
      </c>
      <c r="C596" s="147">
        <f t="shared" ca="1" si="76"/>
        <v>2.7775991143937429</v>
      </c>
      <c r="D596" s="147" t="str">
        <f t="shared" ca="1" si="76"/>
        <v/>
      </c>
      <c r="E596" s="147">
        <f t="shared" ca="1" si="76"/>
        <v>2.6898409650351338</v>
      </c>
      <c r="F596" s="147">
        <f t="shared" ca="1" si="76"/>
        <v>2.6907552722581176</v>
      </c>
      <c r="G596" s="147" t="str">
        <f t="shared" ca="1" si="76"/>
        <v/>
      </c>
      <c r="H596" s="147">
        <f t="shared" ca="1" si="77"/>
        <v>-3.6106455355246592E-2</v>
      </c>
      <c r="I596" s="147">
        <f t="shared" ca="1" si="78"/>
        <v>8.6843842135625238E-2</v>
      </c>
      <c r="J596" s="147" t="str">
        <f t="shared" ca="1" si="79"/>
        <v/>
      </c>
    </row>
    <row r="597" spans="1:10">
      <c r="A597" s="146" t="s">
        <v>211</v>
      </c>
      <c r="B597" s="147">
        <f t="shared" ca="1" si="75"/>
        <v>2.6635239152613743</v>
      </c>
      <c r="C597" s="147">
        <f t="shared" ca="1" si="76"/>
        <v>2.6210349517120646</v>
      </c>
      <c r="D597" s="147" t="str">
        <f t="shared" ca="1" si="76"/>
        <v/>
      </c>
      <c r="E597" s="147">
        <f t="shared" ca="1" si="76"/>
        <v>2.6471631823613757</v>
      </c>
      <c r="F597" s="147">
        <f t="shared" ca="1" si="76"/>
        <v>2.7760613009404898</v>
      </c>
      <c r="G597" s="147" t="str">
        <f t="shared" ca="1" si="76"/>
        <v/>
      </c>
      <c r="H597" s="147">
        <f t="shared" ca="1" si="77"/>
        <v>1.636073289999862E-2</v>
      </c>
      <c r="I597" s="147">
        <f t="shared" ca="1" si="78"/>
        <v>-0.15502634922842518</v>
      </c>
      <c r="J597" s="147" t="str">
        <f t="shared" ca="1" si="79"/>
        <v/>
      </c>
    </row>
    <row r="598" spans="1:10">
      <c r="A598" s="146" t="s">
        <v>212</v>
      </c>
      <c r="B598" s="147">
        <f t="shared" ca="1" si="75"/>
        <v>2.6475365885010196</v>
      </c>
      <c r="C598" s="147">
        <f t="shared" ca="1" si="76"/>
        <v>2.6846591561939785</v>
      </c>
      <c r="D598" s="147" t="str">
        <f t="shared" ca="1" si="76"/>
        <v/>
      </c>
      <c r="E598" s="147">
        <f t="shared" ca="1" si="76"/>
        <v>3.2376362981682769</v>
      </c>
      <c r="F598" s="147">
        <f t="shared" ca="1" si="76"/>
        <v>3.4332669815064478</v>
      </c>
      <c r="G598" s="147" t="str">
        <f t="shared" ca="1" si="76"/>
        <v/>
      </c>
      <c r="H598" s="147">
        <f t="shared" ca="1" si="77"/>
        <v>-0.59009970966725733</v>
      </c>
      <c r="I598" s="147">
        <f t="shared" ca="1" si="78"/>
        <v>-0.74860782531246928</v>
      </c>
      <c r="J598" s="147" t="str">
        <f t="shared" ca="1" si="79"/>
        <v/>
      </c>
    </row>
    <row r="599" spans="1:10">
      <c r="A599" s="146" t="s">
        <v>213</v>
      </c>
      <c r="B599" s="147">
        <f t="shared" ca="1" si="75"/>
        <v>2.8910257896068376</v>
      </c>
      <c r="C599" s="147">
        <f t="shared" ca="1" si="76"/>
        <v>2.5435671109222264</v>
      </c>
      <c r="D599" s="147" t="str">
        <f t="shared" ca="1" si="76"/>
        <v/>
      </c>
      <c r="E599" s="147">
        <f t="shared" ca="1" si="76"/>
        <v>3.0846274692195039</v>
      </c>
      <c r="F599" s="147">
        <f t="shared" ca="1" si="76"/>
        <v>3.137829126599156</v>
      </c>
      <c r="G599" s="147" t="str">
        <f t="shared" ca="1" si="76"/>
        <v/>
      </c>
      <c r="H599" s="147">
        <f t="shared" ca="1" si="77"/>
        <v>-0.19360167961266628</v>
      </c>
      <c r="I599" s="147">
        <f t="shared" ca="1" si="78"/>
        <v>-0.5942620156769296</v>
      </c>
      <c r="J599" s="147" t="str">
        <f t="shared" ca="1" si="79"/>
        <v/>
      </c>
    </row>
    <row r="600" spans="1:10">
      <c r="A600" s="146" t="s">
        <v>214</v>
      </c>
      <c r="B600" s="147">
        <f t="shared" ca="1" si="75"/>
        <v>2.9335175460806817</v>
      </c>
      <c r="C600" s="147">
        <f t="shared" ca="1" si="76"/>
        <v>3.113941702910346</v>
      </c>
      <c r="D600" s="147" t="str">
        <f t="shared" ca="1" si="76"/>
        <v/>
      </c>
      <c r="E600" s="147">
        <f t="shared" ca="1" si="76"/>
        <v>5.2792533203008523</v>
      </c>
      <c r="F600" s="147">
        <f t="shared" ca="1" si="76"/>
        <v>4.7080468334119709</v>
      </c>
      <c r="G600" s="147" t="str">
        <f t="shared" ca="1" si="76"/>
        <v/>
      </c>
      <c r="H600" s="147">
        <f t="shared" ca="1" si="77"/>
        <v>-2.3457357742201705</v>
      </c>
      <c r="I600" s="147">
        <f t="shared" ca="1" si="78"/>
        <v>-1.5941051305016249</v>
      </c>
      <c r="J600" s="147" t="str">
        <f t="shared" ca="1" si="79"/>
        <v/>
      </c>
    </row>
    <row r="601" spans="1:10">
      <c r="A601" s="159" t="s">
        <v>215</v>
      </c>
      <c r="B601" s="147">
        <f t="shared" ref="B601:G601" ca="1" si="80">SUM(B589:B600)</f>
        <v>33.729471603859871</v>
      </c>
      <c r="C601" s="147">
        <f t="shared" ca="1" si="80"/>
        <v>36.441235460620803</v>
      </c>
      <c r="D601" s="147">
        <f t="shared" ca="1" si="80"/>
        <v>11.149033274861919</v>
      </c>
      <c r="E601" s="147">
        <f t="shared" ca="1" si="80"/>
        <v>36.97943239493258</v>
      </c>
      <c r="F601" s="147">
        <f t="shared" ca="1" si="80"/>
        <v>38.295287363920188</v>
      </c>
      <c r="G601" s="147">
        <f t="shared" ca="1" si="80"/>
        <v>13.341768141105526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339" t="s">
        <v>108</v>
      </c>
      <c r="B658" s="340"/>
      <c r="C658" s="340"/>
      <c r="D658" s="340"/>
      <c r="E658" s="340"/>
      <c r="F658" s="340"/>
      <c r="G658" s="340"/>
      <c r="H658" s="340"/>
      <c r="I658" s="340"/>
      <c r="J658" s="341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58">
        <v>2023</v>
      </c>
      <c r="C662" s="158">
        <v>2024</v>
      </c>
      <c r="D662" s="158">
        <v>2025</v>
      </c>
      <c r="E662" s="158">
        <v>2023</v>
      </c>
      <c r="F662" s="158">
        <v>2024</v>
      </c>
      <c r="G662" s="158">
        <v>2025</v>
      </c>
      <c r="H662" s="158">
        <v>2023</v>
      </c>
      <c r="I662" s="158">
        <v>2024</v>
      </c>
      <c r="J662" s="158">
        <v>2025</v>
      </c>
    </row>
    <row r="663" spans="1:10">
      <c r="A663" s="146" t="s">
        <v>203</v>
      </c>
      <c r="B663" s="150">
        <f ca="1">IF(INDIRECT(ADDRESS(ROW('3'!BU$33),COLUMN('3'!BU$6)+ROW(A1)+36,1,1,"3"))="","",INDIRECT(ADDRESS(ROW('3'!BU$33),COLUMN('3'!BU$6)+ROW(A1)+36,1,1,"3")))</f>
        <v>306465.26699999999</v>
      </c>
      <c r="C663" s="150">
        <f ca="1">IF(INDIRECT(ADDRESS(ROW('3'!BU$33),COLUMN('3'!BU$6)+ROW(A1)+48,1,1,"3"))="","",INDIRECT(ADDRESS(ROW('3'!BU$33),COLUMN('3'!BU$6)+ROW(A1)+48,1,1,"3")))</f>
        <v>330116.00300000003</v>
      </c>
      <c r="D663" s="150">
        <f ca="1">IF(INDIRECT(ADDRESS(ROW('3'!BU$33),COLUMN('3'!BU$6)+ROW(A1)+60,1,1,"3"))="","",INDIRECT(ADDRESS(ROW('3'!BU$33),COLUMN('3'!BU$6)+ROW(A1)+60,1,1,"3")))</f>
        <v>334083.38199999998</v>
      </c>
      <c r="E663" s="150">
        <f ca="1">IF(INDIRECT(ADDRESS(ROW('3'!BU$34),COLUMN('3'!BU$6)+ROW(A1)+36,1,1,"3"))="","",INDIRECT(ADDRESS(ROW('3'!BU$34),COLUMN('3'!BU$6)+ROW(A1)+36,1,1,"3")))</f>
        <v>221986.16899999999</v>
      </c>
      <c r="F663" s="150">
        <f ca="1">IF(INDIRECT(ADDRESS(ROW('3'!BU$34),COLUMN('3'!BU$6)+ROW(A1)+48,1,1,"3"))="","",INDIRECT(ADDRESS(ROW('3'!BU$34),COLUMN('3'!BU$6)+ROW(A1)+48,1,1,"3")))</f>
        <v>243159.27299999999</v>
      </c>
      <c r="G663" s="150">
        <f ca="1">IF(INDIRECT(ADDRESS(ROW('3'!BU$34),COLUMN('3'!BU$6)+ROW(A1)+60,1,1,"3"))="","",INDIRECT(ADDRESS(ROW('3'!BU$34),COLUMN('3'!BU$6)+ROW(A1)+60,1,1,"3")))</f>
        <v>265006.16800000001</v>
      </c>
      <c r="H663" s="150">
        <f ca="1">IFERROR(B663-E663,"")</f>
        <v>84479.097999999998</v>
      </c>
      <c r="I663" s="150">
        <f ca="1">IFERROR(C663-F663,"")</f>
        <v>86956.73000000004</v>
      </c>
      <c r="J663" s="150">
        <f ca="1">IFERROR(D663-G663,"")</f>
        <v>69077.213999999978</v>
      </c>
    </row>
    <row r="664" spans="1:10">
      <c r="A664" s="146" t="s">
        <v>204</v>
      </c>
      <c r="B664" s="150">
        <f ca="1">IF(INDIRECT(ADDRESS(ROW('3'!BU$33),COLUMN('3'!BU$6)+ROW(A2)+36,1,1,"3"))="","",INDIRECT(ADDRESS(ROW('3'!BU$33),COLUMN('3'!BU$6)+ROW(A2)+36,1,1,"3")))</f>
        <v>292294.04399999999</v>
      </c>
      <c r="C664" s="150">
        <f ca="1">IF(INDIRECT(ADDRESS(ROW('3'!BU$33),COLUMN('3'!BU$6)+ROW(A2)+48,1,1,"3"))="","",INDIRECT(ADDRESS(ROW('3'!BU$33),COLUMN('3'!BU$6)+ROW(A2)+48,1,1,"3")))</f>
        <v>323221.28700000001</v>
      </c>
      <c r="D664" s="150">
        <f ca="1">IF(INDIRECT(ADDRESS(ROW('3'!BU$33),COLUMN('3'!BU$6)+ROW(A2)+60,1,1,"3"))="","",INDIRECT(ADDRESS(ROW('3'!BU$33),COLUMN('3'!BU$6)+ROW(A2)+60,1,1,"3")))</f>
        <v>321429.95799999998</v>
      </c>
      <c r="E664" s="150">
        <f ca="1">IF(INDIRECT(ADDRESS(ROW('3'!BU$34),COLUMN('3'!BU$6)+ROW(A2)+36,1,1,"3"))="","",INDIRECT(ADDRESS(ROW('3'!BU$34),COLUMN('3'!BU$6)+ROW(A2)+36,1,1,"3")))</f>
        <v>257310.25</v>
      </c>
      <c r="F664" s="150">
        <f ca="1">IF(INDIRECT(ADDRESS(ROW('3'!BU$34),COLUMN('3'!BU$6)+ROW(A2)+48,1,1,"3"))="","",INDIRECT(ADDRESS(ROW('3'!BU$34),COLUMN('3'!BU$6)+ROW(A2)+48,1,1,"3")))</f>
        <v>282000.26000000007</v>
      </c>
      <c r="G664" s="150">
        <f ca="1">IF(INDIRECT(ADDRESS(ROW('3'!BU$34),COLUMN('3'!BU$6)+ROW(A2)+60,1,1,"3"))="","",INDIRECT(ADDRESS(ROW('3'!BU$34),COLUMN('3'!BU$6)+ROW(A2)+60,1,1,"3")))</f>
        <v>285813.94100000005</v>
      </c>
      <c r="H664" s="150">
        <f t="shared" ref="H664:H674" ca="1" si="81">IFERROR(B664-E664,"")</f>
        <v>34983.793999999994</v>
      </c>
      <c r="I664" s="150">
        <f t="shared" ref="I664:I674" ca="1" si="82">IFERROR(C664-F664,"")</f>
        <v>41221.026999999944</v>
      </c>
      <c r="J664" s="150">
        <f t="shared" ref="J664:J674" ca="1" si="83">IFERROR(D664-G664,"")</f>
        <v>35616.016999999934</v>
      </c>
    </row>
    <row r="665" spans="1:10">
      <c r="A665" s="146" t="s">
        <v>205</v>
      </c>
      <c r="B665" s="150">
        <f ca="1">IF(INDIRECT(ADDRESS(ROW('3'!BU$33),COLUMN('3'!BU$6)+ROW(A3)+36,1,1,"3"))="","",INDIRECT(ADDRESS(ROW('3'!BU$33),COLUMN('3'!BU$6)+ROW(A3)+36,1,1,"3")))</f>
        <v>225671.94900000002</v>
      </c>
      <c r="C665" s="150">
        <f ca="1">IF(INDIRECT(ADDRESS(ROW('3'!BU$33),COLUMN('3'!BU$6)+ROW(A3)+48,1,1,"3"))="","",INDIRECT(ADDRESS(ROW('3'!BU$33),COLUMN('3'!BU$6)+ROW(A3)+48,1,1,"3")))</f>
        <v>219856.022</v>
      </c>
      <c r="D665" s="150">
        <f ca="1">IF(INDIRECT(ADDRESS(ROW('3'!BU$33),COLUMN('3'!BU$6)+ROW(A3)+60,1,1,"3"))="","",INDIRECT(ADDRESS(ROW('3'!BU$33),COLUMN('3'!BU$6)+ROW(A3)+60,1,1,"3")))</f>
        <v>330721.73600000003</v>
      </c>
      <c r="E665" s="150">
        <f ca="1">IF(INDIRECT(ADDRESS(ROW('3'!BU$34),COLUMN('3'!BU$6)+ROW(A3)+36,1,1,"3"))="","",INDIRECT(ADDRESS(ROW('3'!BU$34),COLUMN('3'!BU$6)+ROW(A3)+36,1,1,"3")))</f>
        <v>281685.71700000006</v>
      </c>
      <c r="F665" s="150">
        <f ca="1">IF(INDIRECT(ADDRESS(ROW('3'!BU$34),COLUMN('3'!BU$6)+ROW(A3)+48,1,1,"3"))="","",INDIRECT(ADDRESS(ROW('3'!BU$34),COLUMN('3'!BU$6)+ROW(A3)+48,1,1,"3")))</f>
        <v>280186.84999999998</v>
      </c>
      <c r="G665" s="150">
        <f ca="1">IF(INDIRECT(ADDRESS(ROW('3'!BU$34),COLUMN('3'!BU$6)+ROW(A3)+60,1,1,"3"))="","",INDIRECT(ADDRESS(ROW('3'!BU$34),COLUMN('3'!BU$6)+ROW(A3)+60,1,1,"3")))</f>
        <v>301165.06499999994</v>
      </c>
      <c r="H665" s="150">
        <f t="shared" ca="1" si="81"/>
        <v>-56013.76800000004</v>
      </c>
      <c r="I665" s="150">
        <f t="shared" ca="1" si="82"/>
        <v>-60330.82799999998</v>
      </c>
      <c r="J665" s="150">
        <f t="shared" ca="1" si="83"/>
        <v>29556.671000000089</v>
      </c>
    </row>
    <row r="666" spans="1:10">
      <c r="A666" s="146" t="s">
        <v>206</v>
      </c>
      <c r="B666" s="150">
        <f ca="1">IF(INDIRECT(ADDRESS(ROW('3'!BU$33),COLUMN('3'!BU$6)+ROW(A4)+36,1,1,"3"))="","",INDIRECT(ADDRESS(ROW('3'!BU$33),COLUMN('3'!BU$6)+ROW(A4)+36,1,1,"3")))</f>
        <v>262816.14899999998</v>
      </c>
      <c r="C666" s="150">
        <f ca="1">IF(INDIRECT(ADDRESS(ROW('3'!BU$33),COLUMN('3'!BU$6)+ROW(A4)+48,1,1,"3"))="","",INDIRECT(ADDRESS(ROW('3'!BU$33),COLUMN('3'!BU$6)+ROW(A4)+48,1,1,"3")))</f>
        <v>320943.46199999994</v>
      </c>
      <c r="D666" s="150">
        <f ca="1">IF(INDIRECT(ADDRESS(ROW('3'!BU$33),COLUMN('3'!BU$6)+ROW(A4)+60,1,1,"3"))="","",INDIRECT(ADDRESS(ROW('3'!BU$33),COLUMN('3'!BU$6)+ROW(A4)+60,1,1,"3")))</f>
        <v>337077.96400000004</v>
      </c>
      <c r="E666" s="150">
        <f ca="1">IF(INDIRECT(ADDRESS(ROW('3'!BU$34),COLUMN('3'!BU$6)+ROW(A4)+36,1,1,"3"))="","",INDIRECT(ADDRESS(ROW('3'!BU$34),COLUMN('3'!BU$6)+ROW(A4)+36,1,1,"3")))</f>
        <v>282101.21299999999</v>
      </c>
      <c r="F666" s="150">
        <f ca="1">IF(INDIRECT(ADDRESS(ROW('3'!BU$34),COLUMN('3'!BU$6)+ROW(A4)+48,1,1,"3"))="","",INDIRECT(ADDRESS(ROW('3'!BU$34),COLUMN('3'!BU$6)+ROW(A4)+48,1,1,"3")))</f>
        <v>309610.59600000002</v>
      </c>
      <c r="G666" s="150">
        <f ca="1">IF(INDIRECT(ADDRESS(ROW('3'!BU$34),COLUMN('3'!BU$6)+ROW(A4)+60,1,1,"3"))="","",INDIRECT(ADDRESS(ROW('3'!BU$34),COLUMN('3'!BU$6)+ROW(A4)+60,1,1,"3")))</f>
        <v>352750.26800000004</v>
      </c>
      <c r="H666" s="150">
        <f t="shared" ca="1" si="81"/>
        <v>-19285.064000000013</v>
      </c>
      <c r="I666" s="150">
        <f t="shared" ca="1" si="82"/>
        <v>11332.865999999922</v>
      </c>
      <c r="J666" s="150">
        <f t="shared" ca="1" si="83"/>
        <v>-15672.304000000004</v>
      </c>
    </row>
    <row r="667" spans="1:10">
      <c r="A667" s="146" t="s">
        <v>207</v>
      </c>
      <c r="B667" s="150">
        <f ca="1">IF(INDIRECT(ADDRESS(ROW('3'!BU$33),COLUMN('3'!BU$6)+ROW(A5)+36,1,1,"3"))="","",INDIRECT(ADDRESS(ROW('3'!BU$33),COLUMN('3'!BU$6)+ROW(A5)+36,1,1,"3")))</f>
        <v>295042.68599999999</v>
      </c>
      <c r="C667" s="150">
        <f ca="1">IF(INDIRECT(ADDRESS(ROW('3'!BU$33),COLUMN('3'!BU$6)+ROW(A5)+48,1,1,"3"))="","",INDIRECT(ADDRESS(ROW('3'!BU$33),COLUMN('3'!BU$6)+ROW(A5)+48,1,1,"3")))</f>
        <v>302319.49399999995</v>
      </c>
      <c r="D667" s="150" t="str">
        <f ca="1">IF(INDIRECT(ADDRESS(ROW('3'!BU$33),COLUMN('3'!BU$6)+ROW(A5)+60,1,1,"3"))="","",INDIRECT(ADDRESS(ROW('3'!BU$33),COLUMN('3'!BU$6)+ROW(A5)+60,1,1,"3")))</f>
        <v/>
      </c>
      <c r="E667" s="150">
        <f ca="1">IF(INDIRECT(ADDRESS(ROW('3'!BU$34),COLUMN('3'!BU$6)+ROW(A5)+36,1,1,"3"))="","",INDIRECT(ADDRESS(ROW('3'!BU$34),COLUMN('3'!BU$6)+ROW(A5)+36,1,1,"3")))</f>
        <v>274959.68000000005</v>
      </c>
      <c r="F667" s="150">
        <f ca="1">IF(INDIRECT(ADDRESS(ROW('3'!BU$34),COLUMN('3'!BU$6)+ROW(A5)+48,1,1,"3"))="","",INDIRECT(ADDRESS(ROW('3'!BU$34),COLUMN('3'!BU$6)+ROW(A5)+48,1,1,"3")))</f>
        <v>304271.2209999999</v>
      </c>
      <c r="G667" s="150" t="str">
        <f ca="1">IF(INDIRECT(ADDRESS(ROW('3'!BU$34),COLUMN('3'!BU$6)+ROW(A5)+60,1,1,"3"))="","",INDIRECT(ADDRESS(ROW('3'!BU$34),COLUMN('3'!BU$6)+ROW(A5)+60,1,1,"3")))</f>
        <v/>
      </c>
      <c r="H667" s="150">
        <f t="shared" ca="1" si="81"/>
        <v>20083.005999999936</v>
      </c>
      <c r="I667" s="150">
        <f t="shared" ca="1" si="82"/>
        <v>-1951.7269999999553</v>
      </c>
      <c r="J667" s="150" t="str">
        <f t="shared" ca="1" si="83"/>
        <v/>
      </c>
    </row>
    <row r="668" spans="1:10">
      <c r="A668" s="146" t="s">
        <v>208</v>
      </c>
      <c r="B668" s="150">
        <f ca="1">IF(INDIRECT(ADDRESS(ROW('3'!BU$33),COLUMN('3'!BU$6)+ROW(A6)+36,1,1,"3"))="","",INDIRECT(ADDRESS(ROW('3'!BU$33),COLUMN('3'!BU$6)+ROW(A6)+36,1,1,"3")))</f>
        <v>376093.33000000007</v>
      </c>
      <c r="C668" s="150">
        <f ca="1">IF(INDIRECT(ADDRESS(ROW('3'!BU$33),COLUMN('3'!BU$6)+ROW(A6)+48,1,1,"3"))="","",INDIRECT(ADDRESS(ROW('3'!BU$33),COLUMN('3'!BU$6)+ROW(A6)+48,1,1,"3")))</f>
        <v>389767.87000000011</v>
      </c>
      <c r="D668" s="150" t="str">
        <f ca="1">IF(INDIRECT(ADDRESS(ROW('3'!BU$33),COLUMN('3'!BU$6)+ROW(A6)+60,1,1,"3"))="","",INDIRECT(ADDRESS(ROW('3'!BU$33),COLUMN('3'!BU$6)+ROW(A6)+60,1,1,"3")))</f>
        <v/>
      </c>
      <c r="E668" s="150">
        <f ca="1">IF(INDIRECT(ADDRESS(ROW('3'!BU$34),COLUMN('3'!BU$6)+ROW(A6)+36,1,1,"3"))="","",INDIRECT(ADDRESS(ROW('3'!BU$34),COLUMN('3'!BU$6)+ROW(A6)+36,1,1,"3")))</f>
        <v>368738.50199999986</v>
      </c>
      <c r="F668" s="150">
        <f ca="1">IF(INDIRECT(ADDRESS(ROW('3'!BU$34),COLUMN('3'!BU$6)+ROW(A6)+48,1,1,"3"))="","",INDIRECT(ADDRESS(ROW('3'!BU$34),COLUMN('3'!BU$6)+ROW(A6)+48,1,1,"3")))</f>
        <v>371345.66500000004</v>
      </c>
      <c r="G668" s="150" t="str">
        <f ca="1">IF(INDIRECT(ADDRESS(ROW('3'!BU$34),COLUMN('3'!BU$6)+ROW(A6)+60,1,1,"3"))="","",INDIRECT(ADDRESS(ROW('3'!BU$34),COLUMN('3'!BU$6)+ROW(A6)+60,1,1,"3")))</f>
        <v/>
      </c>
      <c r="H668" s="150">
        <f t="shared" ca="1" si="81"/>
        <v>7354.8280000002123</v>
      </c>
      <c r="I668" s="150">
        <f t="shared" ca="1" si="82"/>
        <v>18422.205000000075</v>
      </c>
      <c r="J668" s="150" t="str">
        <f t="shared" ca="1" si="83"/>
        <v/>
      </c>
    </row>
    <row r="669" spans="1:10">
      <c r="A669" s="146" t="s">
        <v>209</v>
      </c>
      <c r="B669" s="150">
        <f ca="1">IF(INDIRECT(ADDRESS(ROW('3'!BU$33),COLUMN('3'!BU$6)+ROW(A7)+36,1,1,"3"))="","",INDIRECT(ADDRESS(ROW('3'!BU$33),COLUMN('3'!BU$6)+ROW(A7)+36,1,1,"3")))</f>
        <v>301143.92699999991</v>
      </c>
      <c r="C669" s="150">
        <f ca="1">IF(INDIRECT(ADDRESS(ROW('3'!BU$33),COLUMN('3'!BU$6)+ROW(A7)+48,1,1,"3"))="","",INDIRECT(ADDRESS(ROW('3'!BU$33),COLUMN('3'!BU$6)+ROW(A7)+48,1,1,"3")))</f>
        <v>289656.17000000016</v>
      </c>
      <c r="D669" s="150" t="str">
        <f ca="1">IF(INDIRECT(ADDRESS(ROW('3'!BU$33),COLUMN('3'!BU$6)+ROW(A7)+60,1,1,"3"))="","",INDIRECT(ADDRESS(ROW('3'!BU$33),COLUMN('3'!BU$6)+ROW(A7)+60,1,1,"3")))</f>
        <v/>
      </c>
      <c r="E669" s="150">
        <f ca="1">IF(INDIRECT(ADDRESS(ROW('3'!BU$34),COLUMN('3'!BU$6)+ROW(A7)+36,1,1,"3"))="","",INDIRECT(ADDRESS(ROW('3'!BU$34),COLUMN('3'!BU$6)+ROW(A7)+36,1,1,"3")))</f>
        <v>285193.85100000002</v>
      </c>
      <c r="F669" s="150">
        <f ca="1">IF(INDIRECT(ADDRESS(ROW('3'!BU$34),COLUMN('3'!BU$6)+ROW(A7)+48,1,1,"3"))="","",INDIRECT(ADDRESS(ROW('3'!BU$34),COLUMN('3'!BU$6)+ROW(A7)+48,1,1,"3")))</f>
        <v>327048.54500000016</v>
      </c>
      <c r="G669" s="150" t="str">
        <f ca="1">IF(INDIRECT(ADDRESS(ROW('3'!BU$34),COLUMN('3'!BU$6)+ROW(A7)+60,1,1,"3"))="","",INDIRECT(ADDRESS(ROW('3'!BU$34),COLUMN('3'!BU$6)+ROW(A7)+60,1,1,"3")))</f>
        <v/>
      </c>
      <c r="H669" s="150">
        <f t="shared" ca="1" si="81"/>
        <v>15950.075999999885</v>
      </c>
      <c r="I669" s="150">
        <f t="shared" ca="1" si="82"/>
        <v>-37392.375</v>
      </c>
      <c r="J669" s="150" t="str">
        <f t="shared" ca="1" si="83"/>
        <v/>
      </c>
    </row>
    <row r="670" spans="1:10">
      <c r="A670" s="146" t="s">
        <v>210</v>
      </c>
      <c r="B670" s="150">
        <f ca="1">IF(INDIRECT(ADDRESS(ROW('3'!BU$33),COLUMN('3'!BU$6)+ROW(A8)+36,1,1,"3"))="","",INDIRECT(ADDRESS(ROW('3'!BU$33),COLUMN('3'!BU$6)+ROW(A8)+36,1,1,"3")))</f>
        <v>264350.38299999991</v>
      </c>
      <c r="C670" s="150">
        <f ca="1">IF(INDIRECT(ADDRESS(ROW('3'!BU$33),COLUMN('3'!BU$6)+ROW(A8)+48,1,1,"3"))="","",INDIRECT(ADDRESS(ROW('3'!BU$33),COLUMN('3'!BU$6)+ROW(A8)+48,1,1,"3")))</f>
        <v>296848.35499999998</v>
      </c>
      <c r="D670" s="150" t="str">
        <f ca="1">IF(INDIRECT(ADDRESS(ROW('3'!BU$33),COLUMN('3'!BU$6)+ROW(A8)+60,1,1,"3"))="","",INDIRECT(ADDRESS(ROW('3'!BU$33),COLUMN('3'!BU$6)+ROW(A8)+60,1,1,"3")))</f>
        <v/>
      </c>
      <c r="E670" s="150">
        <f ca="1">IF(INDIRECT(ADDRESS(ROW('3'!BU$34),COLUMN('3'!BU$6)+ROW(A8)+36,1,1,"3"))="","",INDIRECT(ADDRESS(ROW('3'!BU$34),COLUMN('3'!BU$6)+ROW(A8)+36,1,1,"3")))</f>
        <v>277676.46500000008</v>
      </c>
      <c r="F670" s="150">
        <f ca="1">IF(INDIRECT(ADDRESS(ROW('3'!BU$34),COLUMN('3'!BU$6)+ROW(A8)+48,1,1,"3"))="","",INDIRECT(ADDRESS(ROW('3'!BU$34),COLUMN('3'!BU$6)+ROW(A8)+48,1,1,"3")))</f>
        <v>270215.54099999974</v>
      </c>
      <c r="G670" s="150" t="str">
        <f ca="1">IF(INDIRECT(ADDRESS(ROW('3'!BU$34),COLUMN('3'!BU$6)+ROW(A8)+60,1,1,"3"))="","",INDIRECT(ADDRESS(ROW('3'!BU$34),COLUMN('3'!BU$6)+ROW(A8)+60,1,1,"3")))</f>
        <v/>
      </c>
      <c r="H670" s="150">
        <f t="shared" ca="1" si="81"/>
        <v>-13326.08200000017</v>
      </c>
      <c r="I670" s="150">
        <f t="shared" ca="1" si="82"/>
        <v>26632.814000000246</v>
      </c>
      <c r="J670" s="150" t="str">
        <f t="shared" ca="1" si="83"/>
        <v/>
      </c>
    </row>
    <row r="671" spans="1:10">
      <c r="A671" s="146" t="s">
        <v>211</v>
      </c>
      <c r="B671" s="150">
        <f ca="1">IF(INDIRECT(ADDRESS(ROW('3'!BU$33),COLUMN('3'!BU$6)+ROW(A9)+36,1,1,"3"))="","",INDIRECT(ADDRESS(ROW('3'!BU$33),COLUMN('3'!BU$6)+ROW(A9)+36,1,1,"3")))</f>
        <v>246209.85400000028</v>
      </c>
      <c r="C671" s="150">
        <f ca="1">IF(INDIRECT(ADDRESS(ROW('3'!BU$33),COLUMN('3'!BU$6)+ROW(A9)+48,1,1,"3"))="","",INDIRECT(ADDRESS(ROW('3'!BU$33),COLUMN('3'!BU$6)+ROW(A9)+48,1,1,"3")))</f>
        <v>280160.77499999991</v>
      </c>
      <c r="D671" s="150" t="str">
        <f ca="1">IF(INDIRECT(ADDRESS(ROW('3'!BU$33),COLUMN('3'!BU$6)+ROW(A9)+60,1,1,"3"))="","",INDIRECT(ADDRESS(ROW('3'!BU$33),COLUMN('3'!BU$6)+ROW(A9)+60,1,1,"3")))</f>
        <v/>
      </c>
      <c r="E671" s="150">
        <f ca="1">IF(INDIRECT(ADDRESS(ROW('3'!BU$34),COLUMN('3'!BU$6)+ROW(A9)+36,1,1,"3"))="","",INDIRECT(ADDRESS(ROW('3'!BU$34),COLUMN('3'!BU$6)+ROW(A9)+36,1,1,"3")))</f>
        <v>255025.41500000004</v>
      </c>
      <c r="F671" s="150">
        <f ca="1">IF(INDIRECT(ADDRESS(ROW('3'!BU$34),COLUMN('3'!BU$6)+ROW(A9)+48,1,1,"3"))="","",INDIRECT(ADDRESS(ROW('3'!BU$34),COLUMN('3'!BU$6)+ROW(A9)+48,1,1,"3")))</f>
        <v>255439.60900000017</v>
      </c>
      <c r="G671" s="150" t="str">
        <f ca="1">IF(INDIRECT(ADDRESS(ROW('3'!BU$34),COLUMN('3'!BU$6)+ROW(A9)+60,1,1,"3"))="","",INDIRECT(ADDRESS(ROW('3'!BU$34),COLUMN('3'!BU$6)+ROW(A9)+60,1,1,"3")))</f>
        <v/>
      </c>
      <c r="H671" s="150">
        <f t="shared" ca="1" si="81"/>
        <v>-8815.5609999997541</v>
      </c>
      <c r="I671" s="150">
        <f t="shared" ca="1" si="82"/>
        <v>24721.165999999736</v>
      </c>
      <c r="J671" s="150" t="str">
        <f t="shared" ca="1" si="83"/>
        <v/>
      </c>
    </row>
    <row r="672" spans="1:10">
      <c r="A672" s="146" t="s">
        <v>212</v>
      </c>
      <c r="B672" s="150">
        <f ca="1">IF(INDIRECT(ADDRESS(ROW('3'!BU$33),COLUMN('3'!BU$6)+ROW(A10)+36,1,1,"3"))="","",INDIRECT(ADDRESS(ROW('3'!BU$33),COLUMN('3'!BU$6)+ROW(A10)+36,1,1,"3")))</f>
        <v>315285.34100000001</v>
      </c>
      <c r="C672" s="150">
        <f ca="1">IF(INDIRECT(ADDRESS(ROW('3'!BU$33),COLUMN('3'!BU$6)+ROW(A10)+48,1,1,"3"))="","",INDIRECT(ADDRESS(ROW('3'!BU$33),COLUMN('3'!BU$6)+ROW(A10)+48,1,1,"3")))</f>
        <v>345163.73</v>
      </c>
      <c r="D672" s="150" t="str">
        <f ca="1">IF(INDIRECT(ADDRESS(ROW('3'!BU$33),COLUMN('3'!BU$6)+ROW(A10)+60,1,1,"3"))="","",INDIRECT(ADDRESS(ROW('3'!BU$33),COLUMN('3'!BU$6)+ROW(A10)+60,1,1,"3")))</f>
        <v/>
      </c>
      <c r="E672" s="150">
        <f ca="1">IF(INDIRECT(ADDRESS(ROW('3'!BU$34),COLUMN('3'!BU$6)+ROW(A10)+36,1,1,"3"))="","",INDIRECT(ADDRESS(ROW('3'!BU$34),COLUMN('3'!BU$6)+ROW(A10)+36,1,1,"3")))</f>
        <v>315119.23900000006</v>
      </c>
      <c r="F672" s="150">
        <f ca="1">IF(INDIRECT(ADDRESS(ROW('3'!BU$34),COLUMN('3'!BU$6)+ROW(A10)+48,1,1,"3"))="","",INDIRECT(ADDRESS(ROW('3'!BU$34),COLUMN('3'!BU$6)+ROW(A10)+48,1,1,"3")))</f>
        <v>338892.42100000009</v>
      </c>
      <c r="G672" s="150" t="str">
        <f ca="1">IF(INDIRECT(ADDRESS(ROW('3'!BU$34),COLUMN('3'!BU$6)+ROW(A10)+60,1,1,"3"))="","",INDIRECT(ADDRESS(ROW('3'!BU$34),COLUMN('3'!BU$6)+ROW(A10)+60,1,1,"3")))</f>
        <v/>
      </c>
      <c r="H672" s="150">
        <f t="shared" ca="1" si="81"/>
        <v>166.1019999999553</v>
      </c>
      <c r="I672" s="150">
        <f t="shared" ca="1" si="82"/>
        <v>6271.308999999892</v>
      </c>
      <c r="J672" s="150" t="str">
        <f t="shared" ca="1" si="83"/>
        <v/>
      </c>
    </row>
    <row r="673" spans="1:10">
      <c r="A673" s="146" t="s">
        <v>213</v>
      </c>
      <c r="B673" s="150">
        <f ca="1">IF(INDIRECT(ADDRESS(ROW('3'!BU$33),COLUMN('3'!BU$6)+ROW(A11)+36,1,1,"3"))="","",INDIRECT(ADDRESS(ROW('3'!BU$33),COLUMN('3'!BU$6)+ROW(A11)+36,1,1,"3")))</f>
        <v>300948.20599999977</v>
      </c>
      <c r="C673" s="150">
        <f ca="1">IF(INDIRECT(ADDRESS(ROW('3'!BU$33),COLUMN('3'!BU$6)+ROW(A11)+48,1,1,"3"))="","",INDIRECT(ADDRESS(ROW('3'!BU$33),COLUMN('3'!BU$6)+ROW(A11)+48,1,1,"3")))</f>
        <v>329799.11700000009</v>
      </c>
      <c r="D673" s="150" t="str">
        <f ca="1">IF(INDIRECT(ADDRESS(ROW('3'!BU$33),COLUMN('3'!BU$6)+ROW(A11)+60,1,1,"3"))="","",INDIRECT(ADDRESS(ROW('3'!BU$33),COLUMN('3'!BU$6)+ROW(A11)+60,1,1,"3")))</f>
        <v/>
      </c>
      <c r="E673" s="150">
        <f ca="1">IF(INDIRECT(ADDRESS(ROW('3'!BU$34),COLUMN('3'!BU$6)+ROW(A11)+36,1,1,"3"))="","",INDIRECT(ADDRESS(ROW('3'!BU$34),COLUMN('3'!BU$6)+ROW(A11)+36,1,1,"3")))</f>
        <v>324385.04499999993</v>
      </c>
      <c r="F673" s="150">
        <f ca="1">IF(INDIRECT(ADDRESS(ROW('3'!BU$34),COLUMN('3'!BU$6)+ROW(A11)+48,1,1,"3"))="","",INDIRECT(ADDRESS(ROW('3'!BU$34),COLUMN('3'!BU$6)+ROW(A11)+48,1,1,"3")))</f>
        <v>344569.24099999992</v>
      </c>
      <c r="G673" s="150" t="str">
        <f ca="1">IF(INDIRECT(ADDRESS(ROW('3'!BU$34),COLUMN('3'!BU$6)+ROW(A11)+60,1,1,"3"))="","",INDIRECT(ADDRESS(ROW('3'!BU$34),COLUMN('3'!BU$6)+ROW(A11)+60,1,1,"3")))</f>
        <v/>
      </c>
      <c r="H673" s="150">
        <f t="shared" ca="1" si="81"/>
        <v>-23436.839000000153</v>
      </c>
      <c r="I673" s="150">
        <f t="shared" ca="1" si="82"/>
        <v>-14770.123999999836</v>
      </c>
      <c r="J673" s="150" t="str">
        <f t="shared" ca="1" si="83"/>
        <v/>
      </c>
    </row>
    <row r="674" spans="1:10">
      <c r="A674" s="146" t="s">
        <v>214</v>
      </c>
      <c r="B674" s="150">
        <f ca="1">IF(INDIRECT(ADDRESS(ROW('3'!BU$33),COLUMN('3'!BU$6)+ROW(A12)+36,1,1,"3"))="","",INDIRECT(ADDRESS(ROW('3'!BU$33),COLUMN('3'!BU$6)+ROW(A12)+36,1,1,"3")))</f>
        <v>294625.01500000013</v>
      </c>
      <c r="C674" s="150">
        <f ca="1">IF(INDIRECT(ADDRESS(ROW('3'!BU$33),COLUMN('3'!BU$6)+ROW(A12)+48,1,1,"3"))="","",INDIRECT(ADDRESS(ROW('3'!BU$33),COLUMN('3'!BU$6)+ROW(A12)+48,1,1,"3")))</f>
        <v>323092.44799999986</v>
      </c>
      <c r="D674" s="150" t="str">
        <f ca="1">IF(INDIRECT(ADDRESS(ROW('3'!BU$33),COLUMN('3'!BU$6)+ROW(A12)+60,1,1,"3"))="","",INDIRECT(ADDRESS(ROW('3'!BU$33),COLUMN('3'!BU$6)+ROW(A12)+60,1,1,"3")))</f>
        <v/>
      </c>
      <c r="E674" s="150">
        <f ca="1">IF(INDIRECT(ADDRESS(ROW('3'!BU$34),COLUMN('3'!BU$6)+ROW(A12)+36,1,1,"3"))="","",INDIRECT(ADDRESS(ROW('3'!BU$34),COLUMN('3'!BU$6)+ROW(A12)+36,1,1,"3")))</f>
        <v>492764.7209999999</v>
      </c>
      <c r="F674" s="150">
        <f ca="1">IF(INDIRECT(ADDRESS(ROW('3'!BU$34),COLUMN('3'!BU$6)+ROW(A12)+48,1,1,"3"))="","",INDIRECT(ADDRESS(ROW('3'!BU$34),COLUMN('3'!BU$6)+ROW(A12)+48,1,1,"3")))</f>
        <v>472492.17599999998</v>
      </c>
      <c r="G674" s="150" t="str">
        <f ca="1">IF(INDIRECT(ADDRESS(ROW('3'!BU$34),COLUMN('3'!BU$6)+ROW(A12)+60,1,1,"3"))="","",INDIRECT(ADDRESS(ROW('3'!BU$34),COLUMN('3'!BU$6)+ROW(A12)+60,1,1,"3")))</f>
        <v/>
      </c>
      <c r="H674" s="150">
        <f t="shared" ca="1" si="81"/>
        <v>-198139.70599999977</v>
      </c>
      <c r="I674" s="150">
        <f t="shared" ca="1" si="82"/>
        <v>-149399.72800000012</v>
      </c>
      <c r="J674" s="150" t="str">
        <f t="shared" ca="1" si="83"/>
        <v/>
      </c>
    </row>
    <row r="675" spans="1:10">
      <c r="A675" s="159" t="s">
        <v>215</v>
      </c>
      <c r="B675" s="150">
        <f t="shared" ref="B675:G675" ca="1" si="84">SUM(B663:B674)</f>
        <v>3480946.1510000001</v>
      </c>
      <c r="C675" s="150">
        <f t="shared" ca="1" si="84"/>
        <v>3750944.733</v>
      </c>
      <c r="D675" s="150">
        <f t="shared" ca="1" si="84"/>
        <v>1323313.04</v>
      </c>
      <c r="E675" s="150">
        <f t="shared" ca="1" si="84"/>
        <v>3636946.267</v>
      </c>
      <c r="F675" s="150">
        <f t="shared" ca="1" si="84"/>
        <v>3799231.398</v>
      </c>
      <c r="G675" s="150">
        <f t="shared" ca="1" si="84"/>
        <v>1204735.442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339" t="s">
        <v>108</v>
      </c>
      <c r="B731" s="340"/>
      <c r="C731" s="340"/>
      <c r="D731" s="340"/>
      <c r="E731" s="340"/>
      <c r="F731" s="340"/>
      <c r="G731" s="340"/>
      <c r="H731" s="340"/>
      <c r="I731" s="340"/>
      <c r="J731" s="341"/>
    </row>
    <row r="732" spans="1:45">
      <c r="A732" s="138" t="s">
        <v>38</v>
      </c>
      <c r="B732" s="337" t="s">
        <v>94</v>
      </c>
      <c r="C732" s="345"/>
      <c r="D732" s="338"/>
      <c r="E732" s="337" t="s">
        <v>95</v>
      </c>
      <c r="F732" s="345"/>
      <c r="G732" s="338"/>
      <c r="H732" s="337" t="s">
        <v>96</v>
      </c>
      <c r="I732" s="345"/>
      <c r="J732" s="338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58">
        <v>2023</v>
      </c>
      <c r="C735" s="158">
        <v>2024</v>
      </c>
      <c r="D735" s="158">
        <v>2025</v>
      </c>
      <c r="E735" s="158">
        <v>2023</v>
      </c>
      <c r="F735" s="158">
        <v>2024</v>
      </c>
      <c r="G735" s="158">
        <v>2025</v>
      </c>
      <c r="H735" s="158">
        <v>2023</v>
      </c>
      <c r="I735" s="158">
        <v>2024</v>
      </c>
      <c r="J735" s="158">
        <v>2025</v>
      </c>
      <c r="M735" s="111" t="s">
        <v>124</v>
      </c>
      <c r="N735" s="284" t="str">
        <f t="shared" ref="N735:N747" si="85">C810</f>
        <v>2020 fakts</v>
      </c>
      <c r="O735" s="284" t="str">
        <f t="shared" ref="O735:O747" si="86">D810</f>
        <v>2021 plāns</v>
      </c>
      <c r="P735" s="284" t="str">
        <f t="shared" ref="P735:P747" si="87">E810</f>
        <v>2021 fakts</v>
      </c>
      <c r="Q735" s="284" t="str">
        <f t="shared" ref="Q735:Q747" si="88">F810</f>
        <v>2022 plāns</v>
      </c>
      <c r="R735" s="284" t="str">
        <f t="shared" ref="R735:R747" si="89">G810</f>
        <v>2022 fakts</v>
      </c>
      <c r="S735" s="284" t="str">
        <f t="shared" ref="S735:S747" si="90">H810</f>
        <v>2023 plāns</v>
      </c>
      <c r="T735" s="284" t="str">
        <f t="shared" ref="T735:V747" si="91">I810</f>
        <v>2023 fakts</v>
      </c>
      <c r="U735" s="284" t="str">
        <f t="shared" si="91"/>
        <v>2024 fakts</v>
      </c>
      <c r="V735" s="284" t="str">
        <f t="shared" si="91"/>
        <v>2025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203</v>
      </c>
      <c r="B736" s="147">
        <f ca="1">IFERROR(B663/T736*100,"")</f>
        <v>0.77837566767247246</v>
      </c>
      <c r="C736" s="147">
        <f ca="1">IFERROR(C663/U736*100,"")</f>
        <v>0.82101277723444188</v>
      </c>
      <c r="D736" s="147">
        <f ca="1">IFERROR(D663/V736*100,"")</f>
        <v>0.79625788798309627</v>
      </c>
      <c r="E736" s="147">
        <f ca="1">IFERROR(E663/T736*100,"")</f>
        <v>0.56381146940683913</v>
      </c>
      <c r="F736" s="147">
        <f ca="1">IFERROR(F663/U736*100,"")</f>
        <v>0.60474762877835331</v>
      </c>
      <c r="G736" s="147">
        <f ca="1">IFERROR(G663/V736*100,"")</f>
        <v>0.63161852101393545</v>
      </c>
      <c r="H736" s="147">
        <f ca="1">IFERROR(B736-E736,"")</f>
        <v>0.21456419826563333</v>
      </c>
      <c r="I736" s="147">
        <f ca="1">IFERROR(C736-F736,"")</f>
        <v>0.21626514845608857</v>
      </c>
      <c r="J736" s="147">
        <f ca="1">IFERROR(D736-G736,"")</f>
        <v>0.16463936696916082</v>
      </c>
      <c r="M736" s="283" t="s">
        <v>203</v>
      </c>
      <c r="N736" s="112">
        <f t="shared" si="85"/>
        <v>29224340</v>
      </c>
      <c r="O736" s="112">
        <f t="shared" si="86"/>
        <v>32285300</v>
      </c>
      <c r="P736" s="112">
        <f t="shared" si="87"/>
        <v>32283779</v>
      </c>
      <c r="Q736" s="112">
        <f t="shared" si="88"/>
        <v>36103656</v>
      </c>
      <c r="R736" s="112">
        <f t="shared" si="89"/>
        <v>36099675</v>
      </c>
      <c r="S736" s="112">
        <f t="shared" si="90"/>
        <v>39072483</v>
      </c>
      <c r="T736" s="112">
        <f t="shared" si="91"/>
        <v>39372411</v>
      </c>
      <c r="U736" s="112">
        <f t="shared" si="91"/>
        <v>40208388</v>
      </c>
      <c r="V736" s="112">
        <f t="shared" si="91"/>
        <v>41956681.000200301</v>
      </c>
      <c r="AN736" s="33"/>
      <c r="AO736" s="33"/>
      <c r="AP736" s="33"/>
      <c r="AQ736" s="33"/>
      <c r="AR736" s="33"/>
      <c r="AS736" s="33"/>
    </row>
    <row r="737" spans="1:45">
      <c r="A737" s="146" t="s">
        <v>204</v>
      </c>
      <c r="B737" s="147">
        <f t="shared" ref="B737:B747" ca="1" si="92">IFERROR(B664/T737*100,"")</f>
        <v>0.74238289344282216</v>
      </c>
      <c r="C737" s="147">
        <f t="shared" ref="C737:C747" ca="1" si="93">IFERROR(C664/U737*100,"")</f>
        <v>0.80386532034062153</v>
      </c>
      <c r="D737" s="147">
        <f t="shared" ref="D737:D747" ca="1" si="94">IFERROR(D664/V737*100,"")</f>
        <v>0.76609958256341937</v>
      </c>
      <c r="E737" s="147">
        <f t="shared" ref="E737:E747" ca="1" si="95">IFERROR(E664/T737*100,"")</f>
        <v>0.65352932031518207</v>
      </c>
      <c r="F737" s="147">
        <f t="shared" ref="F737:F747" ca="1" si="96">IFERROR(F664/U737*100,"")</f>
        <v>0.70134684335019859</v>
      </c>
      <c r="G737" s="147">
        <f t="shared" ref="G737:G747" ca="1" si="97">IFERROR(G664/V737*100,"")</f>
        <v>0.68121198861901289</v>
      </c>
      <c r="H737" s="147">
        <f t="shared" ref="H737:H747" ca="1" si="98">IFERROR(B737-E737,"")</f>
        <v>8.8853573127640084E-2</v>
      </c>
      <c r="I737" s="147">
        <f t="shared" ref="I737:I747" ca="1" si="99">IFERROR(C737-F737,"")</f>
        <v>0.10251847699042294</v>
      </c>
      <c r="J737" s="147">
        <f t="shared" ref="J737:J747" ca="1" si="100">IFERROR(D737-G737,"")</f>
        <v>8.4887593944406481E-2</v>
      </c>
      <c r="M737" s="283" t="s">
        <v>204</v>
      </c>
      <c r="N737" s="112">
        <f t="shared" si="85"/>
        <v>29224340</v>
      </c>
      <c r="O737" s="112">
        <f t="shared" si="86"/>
        <v>32285300</v>
      </c>
      <c r="P737" s="112">
        <f t="shared" si="87"/>
        <v>32283779</v>
      </c>
      <c r="Q737" s="112">
        <f t="shared" si="88"/>
        <v>36103656</v>
      </c>
      <c r="R737" s="112">
        <f t="shared" si="89"/>
        <v>36099675</v>
      </c>
      <c r="S737" s="112">
        <f t="shared" si="90"/>
        <v>39072483</v>
      </c>
      <c r="T737" s="112">
        <f t="shared" si="91"/>
        <v>39372411</v>
      </c>
      <c r="U737" s="112">
        <f t="shared" si="91"/>
        <v>40208388</v>
      </c>
      <c r="V737" s="112">
        <f t="shared" si="91"/>
        <v>41956681.000200301</v>
      </c>
      <c r="AN737" s="33"/>
      <c r="AO737" s="33"/>
      <c r="AP737" s="33"/>
      <c r="AQ737" s="33"/>
      <c r="AR737" s="33"/>
      <c r="AS737" s="33"/>
    </row>
    <row r="738" spans="1:45">
      <c r="A738" s="146" t="s">
        <v>205</v>
      </c>
      <c r="B738" s="147">
        <f t="shared" ca="1" si="92"/>
        <v>0.57317279604746585</v>
      </c>
      <c r="C738" s="147">
        <f t="shared" ca="1" si="93"/>
        <v>0.54679143565765431</v>
      </c>
      <c r="D738" s="147">
        <f t="shared" ca="1" si="94"/>
        <v>0.78824570513196979</v>
      </c>
      <c r="E738" s="147">
        <f t="shared" ca="1" si="95"/>
        <v>0.71543933898282241</v>
      </c>
      <c r="F738" s="147">
        <f t="shared" ca="1" si="96"/>
        <v>0.69683681424880795</v>
      </c>
      <c r="G738" s="147">
        <f t="shared" ca="1" si="97"/>
        <v>0.71780002092768536</v>
      </c>
      <c r="H738" s="147">
        <f t="shared" ca="1" si="98"/>
        <v>-0.14226654293535657</v>
      </c>
      <c r="I738" s="147">
        <f t="shared" ca="1" si="99"/>
        <v>-0.15004537859115363</v>
      </c>
      <c r="J738" s="147">
        <f t="shared" ca="1" si="100"/>
        <v>7.0445684204284431E-2</v>
      </c>
      <c r="M738" s="283" t="s">
        <v>205</v>
      </c>
      <c r="N738" s="112">
        <f t="shared" si="85"/>
        <v>29224340</v>
      </c>
      <c r="O738" s="112">
        <f t="shared" si="86"/>
        <v>32285300</v>
      </c>
      <c r="P738" s="112">
        <f t="shared" si="87"/>
        <v>32283779</v>
      </c>
      <c r="Q738" s="112">
        <f t="shared" si="88"/>
        <v>36103656</v>
      </c>
      <c r="R738" s="112">
        <f t="shared" si="89"/>
        <v>36099675</v>
      </c>
      <c r="S738" s="112">
        <f t="shared" si="90"/>
        <v>39072483</v>
      </c>
      <c r="T738" s="112">
        <f t="shared" si="91"/>
        <v>39372411</v>
      </c>
      <c r="U738" s="112">
        <f t="shared" si="91"/>
        <v>40208388</v>
      </c>
      <c r="V738" s="112">
        <f t="shared" si="91"/>
        <v>41956681.000200301</v>
      </c>
      <c r="AN738" s="33"/>
      <c r="AO738" s="33"/>
      <c r="AP738" s="33"/>
      <c r="AQ738" s="33"/>
      <c r="AR738" s="33"/>
      <c r="AS738" s="33"/>
    </row>
    <row r="739" spans="1:45">
      <c r="A739" s="146" t="s">
        <v>206</v>
      </c>
      <c r="B739" s="147">
        <f t="shared" ca="1" si="92"/>
        <v>0.6675134753622276</v>
      </c>
      <c r="C739" s="147">
        <f t="shared" ca="1" si="93"/>
        <v>0.79820027104792157</v>
      </c>
      <c r="D739" s="147">
        <f t="shared" ca="1" si="94"/>
        <v>0.80339520659031827</v>
      </c>
      <c r="E739" s="147">
        <f t="shared" ca="1" si="95"/>
        <v>0.71649463630764187</v>
      </c>
      <c r="F739" s="147">
        <f t="shared" ca="1" si="96"/>
        <v>0.77001494315066799</v>
      </c>
      <c r="G739" s="147">
        <f t="shared" ca="1" si="97"/>
        <v>0.84074874272899702</v>
      </c>
      <c r="H739" s="147">
        <f t="shared" ca="1" si="98"/>
        <v>-4.898116094541427E-2</v>
      </c>
      <c r="I739" s="147">
        <f t="shared" ca="1" si="99"/>
        <v>2.8185327897253587E-2</v>
      </c>
      <c r="J739" s="147">
        <f t="shared" ca="1" si="100"/>
        <v>-3.7353536138678756E-2</v>
      </c>
      <c r="M739" s="283" t="s">
        <v>206</v>
      </c>
      <c r="N739" s="112">
        <f t="shared" si="85"/>
        <v>29224340</v>
      </c>
      <c r="O739" s="112">
        <f t="shared" si="86"/>
        <v>32285300</v>
      </c>
      <c r="P739" s="112">
        <f t="shared" si="87"/>
        <v>32283779</v>
      </c>
      <c r="Q739" s="112">
        <f t="shared" si="88"/>
        <v>36103656</v>
      </c>
      <c r="R739" s="112">
        <f t="shared" si="89"/>
        <v>36099675</v>
      </c>
      <c r="S739" s="112">
        <f t="shared" si="90"/>
        <v>39072483</v>
      </c>
      <c r="T739" s="112">
        <f t="shared" si="91"/>
        <v>39372411</v>
      </c>
      <c r="U739" s="112">
        <f t="shared" si="91"/>
        <v>40208388</v>
      </c>
      <c r="V739" s="112">
        <f t="shared" si="91"/>
        <v>41956681.000200301</v>
      </c>
      <c r="AN739" s="33"/>
      <c r="AO739" s="33"/>
      <c r="AP739" s="33"/>
      <c r="AQ739" s="33"/>
      <c r="AR739" s="33"/>
      <c r="AS739" s="33"/>
    </row>
    <row r="740" spans="1:45">
      <c r="A740" s="146" t="s">
        <v>207</v>
      </c>
      <c r="B740" s="147">
        <f t="shared" ca="1" si="92"/>
        <v>0.74936403056444778</v>
      </c>
      <c r="C740" s="147">
        <f t="shared" ca="1" si="93"/>
        <v>0.75188165713084532</v>
      </c>
      <c r="D740" s="147" t="str">
        <f t="shared" ca="1" si="94"/>
        <v/>
      </c>
      <c r="E740" s="147">
        <f t="shared" ca="1" si="95"/>
        <v>0.69835621699671901</v>
      </c>
      <c r="F740" s="147">
        <f t="shared" ca="1" si="96"/>
        <v>0.75673568659355328</v>
      </c>
      <c r="G740" s="147" t="str">
        <f t="shared" ca="1" si="97"/>
        <v/>
      </c>
      <c r="H740" s="147">
        <f t="shared" ca="1" si="98"/>
        <v>5.1007813567728766E-2</v>
      </c>
      <c r="I740" s="147">
        <f t="shared" ca="1" si="99"/>
        <v>-4.854029462707965E-3</v>
      </c>
      <c r="J740" s="147" t="str">
        <f t="shared" ca="1" si="100"/>
        <v/>
      </c>
      <c r="M740" s="283" t="s">
        <v>207</v>
      </c>
      <c r="N740" s="112">
        <f t="shared" si="85"/>
        <v>29224340</v>
      </c>
      <c r="O740" s="112">
        <f t="shared" si="86"/>
        <v>32285300</v>
      </c>
      <c r="P740" s="112">
        <f t="shared" si="87"/>
        <v>32283779</v>
      </c>
      <c r="Q740" s="112">
        <f t="shared" si="88"/>
        <v>36103656</v>
      </c>
      <c r="R740" s="112">
        <f t="shared" si="89"/>
        <v>36099675</v>
      </c>
      <c r="S740" s="112">
        <f t="shared" si="90"/>
        <v>39072483</v>
      </c>
      <c r="T740" s="112">
        <f t="shared" si="91"/>
        <v>39372411</v>
      </c>
      <c r="U740" s="112">
        <f t="shared" si="91"/>
        <v>40208388</v>
      </c>
      <c r="V740" s="112">
        <f t="shared" si="91"/>
        <v>41956681.000200301</v>
      </c>
      <c r="AN740" s="33"/>
      <c r="AO740" s="33"/>
      <c r="AP740" s="33"/>
      <c r="AQ740" s="33"/>
      <c r="AR740" s="33"/>
      <c r="AS740" s="33"/>
    </row>
    <row r="741" spans="1:45">
      <c r="A741" s="146" t="s">
        <v>208</v>
      </c>
      <c r="B741" s="147">
        <f t="shared" ca="1" si="92"/>
        <v>0.95522047151240019</v>
      </c>
      <c r="C741" s="147">
        <f t="shared" ca="1" si="93"/>
        <v>0.96936955045300521</v>
      </c>
      <c r="D741" s="147" t="str">
        <f t="shared" ca="1" si="94"/>
        <v/>
      </c>
      <c r="E741" s="147">
        <f t="shared" ca="1" si="95"/>
        <v>0.93654031499366353</v>
      </c>
      <c r="F741" s="147">
        <f t="shared" ca="1" si="96"/>
        <v>0.92355272984333525</v>
      </c>
      <c r="G741" s="147" t="str">
        <f t="shared" ca="1" si="97"/>
        <v/>
      </c>
      <c r="H741" s="147">
        <f t="shared" ca="1" si="98"/>
        <v>1.8680156518736668E-2</v>
      </c>
      <c r="I741" s="147">
        <f t="shared" ca="1" si="99"/>
        <v>4.5816820609669962E-2</v>
      </c>
      <c r="J741" s="147" t="str">
        <f t="shared" ca="1" si="100"/>
        <v/>
      </c>
      <c r="M741" s="283" t="s">
        <v>208</v>
      </c>
      <c r="N741" s="112">
        <f t="shared" si="85"/>
        <v>29224340</v>
      </c>
      <c r="O741" s="112">
        <f t="shared" si="86"/>
        <v>32285300</v>
      </c>
      <c r="P741" s="112">
        <f t="shared" si="87"/>
        <v>32283779</v>
      </c>
      <c r="Q741" s="112">
        <f t="shared" si="88"/>
        <v>36103656</v>
      </c>
      <c r="R741" s="112">
        <f t="shared" si="89"/>
        <v>36099675</v>
      </c>
      <c r="S741" s="112">
        <f t="shared" si="90"/>
        <v>39072483</v>
      </c>
      <c r="T741" s="112">
        <f t="shared" si="91"/>
        <v>39372411</v>
      </c>
      <c r="U741" s="112">
        <f t="shared" si="91"/>
        <v>40208388</v>
      </c>
      <c r="V741" s="112">
        <f t="shared" si="91"/>
        <v>41956681.000200301</v>
      </c>
      <c r="AN741" s="33"/>
      <c r="AO741" s="33"/>
      <c r="AP741" s="33"/>
      <c r="AQ741" s="33"/>
      <c r="AR741" s="33"/>
      <c r="AS741" s="33"/>
    </row>
    <row r="742" spans="1:45">
      <c r="A742" s="146" t="s">
        <v>209</v>
      </c>
      <c r="B742" s="147">
        <f t="shared" ca="1" si="92"/>
        <v>0.7648602647168341</v>
      </c>
      <c r="C742" s="147">
        <f t="shared" ca="1" si="93"/>
        <v>0.7203874226442506</v>
      </c>
      <c r="D742" s="147" t="str">
        <f t="shared" ca="1" si="94"/>
        <v/>
      </c>
      <c r="E742" s="147">
        <f t="shared" ca="1" si="95"/>
        <v>0.72434947151191731</v>
      </c>
      <c r="F742" s="147">
        <f t="shared" ca="1" si="96"/>
        <v>0.81338387651850208</v>
      </c>
      <c r="G742" s="147" t="str">
        <f t="shared" ca="1" si="97"/>
        <v/>
      </c>
      <c r="H742" s="147">
        <f t="shared" ca="1" si="98"/>
        <v>4.0510793204916795E-2</v>
      </c>
      <c r="I742" s="147">
        <f t="shared" ca="1" si="99"/>
        <v>-9.2996453874251483E-2</v>
      </c>
      <c r="J742" s="147" t="str">
        <f t="shared" ca="1" si="100"/>
        <v/>
      </c>
      <c r="M742" s="283" t="s">
        <v>209</v>
      </c>
      <c r="N742" s="112">
        <f t="shared" si="85"/>
        <v>29224340</v>
      </c>
      <c r="O742" s="112">
        <f t="shared" si="86"/>
        <v>32285300</v>
      </c>
      <c r="P742" s="112">
        <f t="shared" si="87"/>
        <v>32283779</v>
      </c>
      <c r="Q742" s="112">
        <f t="shared" si="88"/>
        <v>36103656</v>
      </c>
      <c r="R742" s="112">
        <f t="shared" si="89"/>
        <v>36099675</v>
      </c>
      <c r="S742" s="112">
        <f t="shared" si="90"/>
        <v>39072483</v>
      </c>
      <c r="T742" s="112">
        <f t="shared" si="91"/>
        <v>39372411</v>
      </c>
      <c r="U742" s="112">
        <f t="shared" si="91"/>
        <v>40208388</v>
      </c>
      <c r="V742" s="112">
        <f t="shared" si="91"/>
        <v>41956681.000200301</v>
      </c>
      <c r="AN742" s="33"/>
      <c r="AO742" s="33"/>
      <c r="AP742" s="33"/>
      <c r="AQ742" s="33"/>
      <c r="AR742" s="33"/>
      <c r="AS742" s="33"/>
    </row>
    <row r="743" spans="1:45">
      <c r="A743" s="146" t="s">
        <v>210</v>
      </c>
      <c r="B743" s="147">
        <f t="shared" ca="1" si="92"/>
        <v>0.67141019888266418</v>
      </c>
      <c r="C743" s="147">
        <f t="shared" ca="1" si="93"/>
        <v>0.73827469780683574</v>
      </c>
      <c r="D743" s="147" t="str">
        <f t="shared" ca="1" si="94"/>
        <v/>
      </c>
      <c r="E743" s="147">
        <f t="shared" ca="1" si="95"/>
        <v>0.70525644213152217</v>
      </c>
      <c r="F743" s="147">
        <f t="shared" ca="1" si="96"/>
        <v>0.67203773749895102</v>
      </c>
      <c r="G743" s="147" t="str">
        <f t="shared" ca="1" si="97"/>
        <v/>
      </c>
      <c r="H743" s="147">
        <f t="shared" ca="1" si="98"/>
        <v>-3.3846243248857988E-2</v>
      </c>
      <c r="I743" s="147">
        <f t="shared" ca="1" si="99"/>
        <v>6.6236960307884729E-2</v>
      </c>
      <c r="J743" s="147" t="str">
        <f t="shared" ca="1" si="100"/>
        <v/>
      </c>
      <c r="M743" s="283" t="s">
        <v>210</v>
      </c>
      <c r="N743" s="112">
        <f t="shared" si="85"/>
        <v>29224340</v>
      </c>
      <c r="O743" s="112">
        <f t="shared" si="86"/>
        <v>32285300</v>
      </c>
      <c r="P743" s="112">
        <f t="shared" si="87"/>
        <v>32283779</v>
      </c>
      <c r="Q743" s="112">
        <f t="shared" si="88"/>
        <v>36103656</v>
      </c>
      <c r="R743" s="112">
        <f t="shared" si="89"/>
        <v>36099675</v>
      </c>
      <c r="S743" s="112">
        <f t="shared" si="90"/>
        <v>39072483</v>
      </c>
      <c r="T743" s="112">
        <f t="shared" si="91"/>
        <v>39372411</v>
      </c>
      <c r="U743" s="112">
        <f t="shared" si="91"/>
        <v>40208388</v>
      </c>
      <c r="V743" s="112">
        <f t="shared" si="91"/>
        <v>41956681.000200301</v>
      </c>
      <c r="AN743" s="33"/>
      <c r="AO743" s="33"/>
      <c r="AP743" s="33"/>
      <c r="AQ743" s="33"/>
      <c r="AR743" s="33"/>
      <c r="AS743" s="33"/>
    </row>
    <row r="744" spans="1:45">
      <c r="A744" s="146" t="s">
        <v>211</v>
      </c>
      <c r="B744" s="147">
        <f t="shared" ca="1" si="92"/>
        <v>0.62533598463147277</v>
      </c>
      <c r="C744" s="147">
        <f t="shared" ca="1" si="93"/>
        <v>0.69677196459604374</v>
      </c>
      <c r="D744" s="147" t="str">
        <f t="shared" ca="1" si="94"/>
        <v/>
      </c>
      <c r="E744" s="147">
        <f t="shared" ca="1" si="95"/>
        <v>0.64772618318954367</v>
      </c>
      <c r="F744" s="147">
        <f t="shared" ca="1" si="96"/>
        <v>0.63528935554442068</v>
      </c>
      <c r="G744" s="147" t="str">
        <f t="shared" ca="1" si="97"/>
        <v/>
      </c>
      <c r="H744" s="147">
        <f t="shared" ca="1" si="98"/>
        <v>-2.2390198558070895E-2</v>
      </c>
      <c r="I744" s="147">
        <f t="shared" ca="1" si="99"/>
        <v>6.1482609051623061E-2</v>
      </c>
      <c r="J744" s="147" t="str">
        <f t="shared" ca="1" si="100"/>
        <v/>
      </c>
      <c r="M744" s="283" t="s">
        <v>211</v>
      </c>
      <c r="N744" s="112">
        <f t="shared" si="85"/>
        <v>29224340</v>
      </c>
      <c r="O744" s="112">
        <f t="shared" si="86"/>
        <v>32285300</v>
      </c>
      <c r="P744" s="112">
        <f t="shared" si="87"/>
        <v>32283779</v>
      </c>
      <c r="Q744" s="112">
        <f t="shared" si="88"/>
        <v>36103656</v>
      </c>
      <c r="R744" s="112">
        <f t="shared" si="89"/>
        <v>36099675</v>
      </c>
      <c r="S744" s="112">
        <f t="shared" si="90"/>
        <v>39072483</v>
      </c>
      <c r="T744" s="112">
        <f t="shared" si="91"/>
        <v>39372411</v>
      </c>
      <c r="U744" s="112">
        <f t="shared" si="91"/>
        <v>40208388</v>
      </c>
      <c r="V744" s="112">
        <f t="shared" si="91"/>
        <v>41956681.000200301</v>
      </c>
      <c r="AN744" s="33"/>
      <c r="AO744" s="33"/>
      <c r="AP744" s="33"/>
      <c r="AQ744" s="33"/>
      <c r="AR744" s="33"/>
      <c r="AS744" s="33"/>
    </row>
    <row r="745" spans="1:45">
      <c r="A745" s="146" t="s">
        <v>212</v>
      </c>
      <c r="B745" s="147">
        <f t="shared" ca="1" si="92"/>
        <v>0.80077732857152184</v>
      </c>
      <c r="C745" s="147">
        <f t="shared" ca="1" si="93"/>
        <v>0.85843712510931791</v>
      </c>
      <c r="D745" s="147" t="str">
        <f t="shared" ca="1" si="94"/>
        <v/>
      </c>
      <c r="E745" s="147">
        <f t="shared" ca="1" si="95"/>
        <v>0.80035545448308987</v>
      </c>
      <c r="F745" s="147">
        <f t="shared" ca="1" si="96"/>
        <v>0.84284010838733481</v>
      </c>
      <c r="G745" s="147" t="str">
        <f t="shared" ca="1" si="97"/>
        <v/>
      </c>
      <c r="H745" s="147">
        <f t="shared" ca="1" si="98"/>
        <v>4.2187408843197272E-4</v>
      </c>
      <c r="I745" s="147">
        <f t="shared" ca="1" si="99"/>
        <v>1.5597016721983104E-2</v>
      </c>
      <c r="J745" s="147" t="str">
        <f t="shared" ca="1" si="100"/>
        <v/>
      </c>
      <c r="M745" s="283" t="s">
        <v>212</v>
      </c>
      <c r="N745" s="112">
        <f t="shared" si="85"/>
        <v>29224340</v>
      </c>
      <c r="O745" s="112">
        <f t="shared" si="86"/>
        <v>32285300</v>
      </c>
      <c r="P745" s="112">
        <f t="shared" si="87"/>
        <v>32283779</v>
      </c>
      <c r="Q745" s="112">
        <f t="shared" si="88"/>
        <v>36103656</v>
      </c>
      <c r="R745" s="112">
        <f t="shared" si="89"/>
        <v>36099675</v>
      </c>
      <c r="S745" s="112">
        <f t="shared" si="90"/>
        <v>39072483</v>
      </c>
      <c r="T745" s="112">
        <f t="shared" si="91"/>
        <v>39372411</v>
      </c>
      <c r="U745" s="112">
        <f t="shared" si="91"/>
        <v>40208388</v>
      </c>
      <c r="V745" s="112">
        <f t="shared" si="91"/>
        <v>41956681.000200301</v>
      </c>
      <c r="AN745" s="33"/>
      <c r="AO745" s="33"/>
      <c r="AP745" s="33"/>
      <c r="AQ745" s="33"/>
      <c r="AR745" s="33"/>
      <c r="AS745" s="33"/>
    </row>
    <row r="746" spans="1:45">
      <c r="A746" s="146" t="s">
        <v>213</v>
      </c>
      <c r="B746" s="147">
        <f t="shared" ca="1" si="92"/>
        <v>0.76436316282485151</v>
      </c>
      <c r="C746" s="147">
        <f t="shared" ca="1" si="93"/>
        <v>0.82022466804687644</v>
      </c>
      <c r="D746" s="147" t="str">
        <f t="shared" ca="1" si="94"/>
        <v/>
      </c>
      <c r="E746" s="147">
        <f t="shared" ca="1" si="95"/>
        <v>0.82388920759767525</v>
      </c>
      <c r="F746" s="147">
        <f t="shared" ca="1" si="96"/>
        <v>0.85695860525420697</v>
      </c>
      <c r="G746" s="147" t="str">
        <f t="shared" ca="1" si="97"/>
        <v/>
      </c>
      <c r="H746" s="147">
        <f t="shared" ca="1" si="98"/>
        <v>-5.952604477282375E-2</v>
      </c>
      <c r="I746" s="147">
        <f t="shared" ca="1" si="99"/>
        <v>-3.6733937207330536E-2</v>
      </c>
      <c r="J746" s="147" t="str">
        <f t="shared" ca="1" si="100"/>
        <v/>
      </c>
      <c r="M746" s="283" t="s">
        <v>213</v>
      </c>
      <c r="N746" s="112">
        <f t="shared" si="85"/>
        <v>29224340</v>
      </c>
      <c r="O746" s="112">
        <f t="shared" si="86"/>
        <v>32285300</v>
      </c>
      <c r="P746" s="112">
        <f t="shared" si="87"/>
        <v>32283779</v>
      </c>
      <c r="Q746" s="112">
        <f t="shared" si="88"/>
        <v>36103656</v>
      </c>
      <c r="R746" s="112">
        <f t="shared" si="89"/>
        <v>36099675</v>
      </c>
      <c r="S746" s="112">
        <f t="shared" si="90"/>
        <v>39072483</v>
      </c>
      <c r="T746" s="112">
        <f t="shared" si="91"/>
        <v>39372411</v>
      </c>
      <c r="U746" s="112">
        <f t="shared" si="91"/>
        <v>40208388</v>
      </c>
      <c r="V746" s="112">
        <f t="shared" si="91"/>
        <v>41956681.000200301</v>
      </c>
      <c r="AN746" s="33"/>
      <c r="AO746" s="33"/>
      <c r="AP746" s="33"/>
      <c r="AQ746" s="33"/>
      <c r="AR746" s="33"/>
      <c r="AS746" s="33"/>
    </row>
    <row r="747" spans="1:45">
      <c r="A747" s="146" t="s">
        <v>214</v>
      </c>
      <c r="B747" s="147">
        <f t="shared" ca="1" si="92"/>
        <v>0.7483032090668772</v>
      </c>
      <c r="C747" s="147">
        <f t="shared" ca="1" si="93"/>
        <v>0.80354489217523439</v>
      </c>
      <c r="D747" s="147" t="str">
        <f t="shared" ca="1" si="94"/>
        <v/>
      </c>
      <c r="E747" s="147">
        <f t="shared" ca="1" si="95"/>
        <v>1.2515482503725766</v>
      </c>
      <c r="F747" s="147">
        <f t="shared" ca="1" si="96"/>
        <v>1.1751084773654692</v>
      </c>
      <c r="G747" s="147" t="str">
        <f t="shared" ca="1" si="97"/>
        <v/>
      </c>
      <c r="H747" s="147">
        <f t="shared" ca="1" si="98"/>
        <v>-0.50324504130569936</v>
      </c>
      <c r="I747" s="147">
        <f t="shared" ca="1" si="99"/>
        <v>-0.3715635851902348</v>
      </c>
      <c r="J747" s="147" t="str">
        <f t="shared" ca="1" si="100"/>
        <v/>
      </c>
      <c r="M747" s="283" t="s">
        <v>214</v>
      </c>
      <c r="N747" s="112">
        <f t="shared" si="85"/>
        <v>29224340</v>
      </c>
      <c r="O747" s="112">
        <f t="shared" si="86"/>
        <v>32285300</v>
      </c>
      <c r="P747" s="112">
        <f t="shared" si="87"/>
        <v>32283779</v>
      </c>
      <c r="Q747" s="112">
        <f t="shared" si="88"/>
        <v>36103656</v>
      </c>
      <c r="R747" s="112">
        <f t="shared" si="89"/>
        <v>36099675</v>
      </c>
      <c r="S747" s="112">
        <f t="shared" si="90"/>
        <v>39072483</v>
      </c>
      <c r="T747" s="112">
        <f t="shared" si="91"/>
        <v>39372411</v>
      </c>
      <c r="U747" s="112">
        <f t="shared" si="91"/>
        <v>40208388</v>
      </c>
      <c r="V747" s="112">
        <f t="shared" si="91"/>
        <v>41956681.000200301</v>
      </c>
      <c r="AN747" s="33"/>
      <c r="AO747" s="33"/>
      <c r="AP747" s="33"/>
      <c r="AQ747" s="33"/>
      <c r="AR747" s="33"/>
      <c r="AS747" s="33"/>
    </row>
    <row r="748" spans="1:45">
      <c r="A748" s="159" t="s">
        <v>215</v>
      </c>
      <c r="B748" s="147">
        <f t="shared" ref="B748:G748" ca="1" si="101">SUM(B736:B747)</f>
        <v>8.841079483296058</v>
      </c>
      <c r="C748" s="147">
        <f t="shared" ca="1" si="101"/>
        <v>9.3287617822430491</v>
      </c>
      <c r="D748" s="147">
        <f t="shared" ca="1" si="101"/>
        <v>3.1539983822688038</v>
      </c>
      <c r="E748" s="147">
        <f t="shared" ca="1" si="101"/>
        <v>9.237296306289192</v>
      </c>
      <c r="F748" s="147">
        <f t="shared" ca="1" si="101"/>
        <v>9.448852806533802</v>
      </c>
      <c r="G748" s="147">
        <f t="shared" ca="1" si="101"/>
        <v>2.8713792732896306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1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1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1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1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1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1" hidden="1">
      <c r="A810" s="137"/>
      <c r="B810" s="137"/>
      <c r="C810" s="280" t="s">
        <v>122</v>
      </c>
      <c r="D810" s="280" t="s">
        <v>123</v>
      </c>
      <c r="E810" s="280" t="s">
        <v>125</v>
      </c>
      <c r="F810" s="280" t="s">
        <v>126</v>
      </c>
      <c r="G810" s="280" t="s">
        <v>142</v>
      </c>
      <c r="H810" s="280" t="s">
        <v>143</v>
      </c>
      <c r="I810" s="280" t="s">
        <v>144</v>
      </c>
      <c r="J810" s="280" t="s">
        <v>235</v>
      </c>
      <c r="K810" s="282" t="s">
        <v>234</v>
      </c>
    </row>
    <row r="811" spans="1:11" ht="14.4" hidden="1">
      <c r="A811" s="137"/>
      <c r="B811" s="253" t="s">
        <v>203</v>
      </c>
      <c r="C811" s="281">
        <v>29224340</v>
      </c>
      <c r="D811" s="281">
        <v>32285300</v>
      </c>
      <c r="E811" s="281">
        <v>32283779</v>
      </c>
      <c r="F811" s="281">
        <v>36103656</v>
      </c>
      <c r="G811" s="281">
        <v>36099675</v>
      </c>
      <c r="H811" s="281">
        <v>39072483</v>
      </c>
      <c r="I811" s="281">
        <v>39372411</v>
      </c>
      <c r="J811" s="281">
        <v>40208388</v>
      </c>
      <c r="K811" s="186">
        <v>41956681.000200301</v>
      </c>
    </row>
    <row r="812" spans="1:11" ht="14.4" hidden="1">
      <c r="A812" s="137"/>
      <c r="B812" s="253" t="s">
        <v>204</v>
      </c>
      <c r="C812" s="185">
        <v>29224340</v>
      </c>
      <c r="D812" s="185">
        <v>32285300</v>
      </c>
      <c r="E812" s="281">
        <v>32283779</v>
      </c>
      <c r="F812" s="185">
        <v>36103656</v>
      </c>
      <c r="G812" s="281">
        <v>36099675</v>
      </c>
      <c r="H812" s="185">
        <v>39072483</v>
      </c>
      <c r="I812" s="281">
        <v>39372411</v>
      </c>
      <c r="J812" s="281">
        <v>40208388</v>
      </c>
      <c r="K812" s="186">
        <v>41956681.000200301</v>
      </c>
    </row>
    <row r="813" spans="1:11" ht="14.4" hidden="1">
      <c r="A813" s="137"/>
      <c r="B813" s="253" t="s">
        <v>205</v>
      </c>
      <c r="C813" s="185">
        <v>29224340</v>
      </c>
      <c r="D813" s="185">
        <v>32285300</v>
      </c>
      <c r="E813" s="281">
        <v>32283779</v>
      </c>
      <c r="F813" s="185">
        <v>36103656</v>
      </c>
      <c r="G813" s="281">
        <v>36099675</v>
      </c>
      <c r="H813" s="185">
        <v>39072483</v>
      </c>
      <c r="I813" s="281">
        <v>39372411</v>
      </c>
      <c r="J813" s="281">
        <v>40208388</v>
      </c>
      <c r="K813" s="186">
        <v>41956681.000200301</v>
      </c>
    </row>
    <row r="814" spans="1:11" ht="14.4" hidden="1">
      <c r="A814" s="137"/>
      <c r="B814" s="253" t="s">
        <v>206</v>
      </c>
      <c r="C814" s="185">
        <v>29224340</v>
      </c>
      <c r="D814" s="185">
        <v>32285300</v>
      </c>
      <c r="E814" s="281">
        <v>32283779</v>
      </c>
      <c r="F814" s="185">
        <v>36103656</v>
      </c>
      <c r="G814" s="281">
        <v>36099675</v>
      </c>
      <c r="H814" s="185">
        <v>39072483</v>
      </c>
      <c r="I814" s="281">
        <v>39372411</v>
      </c>
      <c r="J814" s="281">
        <v>40208388</v>
      </c>
      <c r="K814" s="186">
        <v>41956681.000200301</v>
      </c>
    </row>
    <row r="815" spans="1:11" ht="14.4" hidden="1">
      <c r="A815" s="137"/>
      <c r="B815" s="253" t="s">
        <v>207</v>
      </c>
      <c r="C815" s="185">
        <v>29224340</v>
      </c>
      <c r="D815" s="185">
        <v>32285300</v>
      </c>
      <c r="E815" s="281">
        <v>32283779</v>
      </c>
      <c r="F815" s="185">
        <v>36103656</v>
      </c>
      <c r="G815" s="281">
        <v>36099675</v>
      </c>
      <c r="H815" s="185">
        <v>39072483</v>
      </c>
      <c r="I815" s="281">
        <v>39372411</v>
      </c>
      <c r="J815" s="281">
        <v>40208388</v>
      </c>
      <c r="K815" s="186">
        <v>41956681.000200301</v>
      </c>
    </row>
    <row r="816" spans="1:11" ht="14.4" hidden="1">
      <c r="A816" s="137"/>
      <c r="B816" s="253" t="s">
        <v>208</v>
      </c>
      <c r="C816" s="185">
        <v>29224340</v>
      </c>
      <c r="D816" s="185">
        <v>32285300</v>
      </c>
      <c r="E816" s="281">
        <v>32283779</v>
      </c>
      <c r="F816" s="185">
        <v>36103656</v>
      </c>
      <c r="G816" s="281">
        <v>36099675</v>
      </c>
      <c r="H816" s="185">
        <v>39072483</v>
      </c>
      <c r="I816" s="281">
        <v>39372411</v>
      </c>
      <c r="J816" s="281">
        <v>40208388</v>
      </c>
      <c r="K816" s="186">
        <v>41956681.000200301</v>
      </c>
    </row>
    <row r="817" spans="1:13" ht="14.4" hidden="1">
      <c r="A817" s="137"/>
      <c r="B817" s="253" t="s">
        <v>209</v>
      </c>
      <c r="C817" s="185">
        <v>29224340</v>
      </c>
      <c r="D817" s="185">
        <v>32285300</v>
      </c>
      <c r="E817" s="281">
        <v>32283779</v>
      </c>
      <c r="F817" s="185">
        <v>36103656</v>
      </c>
      <c r="G817" s="281">
        <v>36099675</v>
      </c>
      <c r="H817" s="185">
        <v>39072483</v>
      </c>
      <c r="I817" s="281">
        <v>39372411</v>
      </c>
      <c r="J817" s="281">
        <v>40208388</v>
      </c>
      <c r="K817" s="186">
        <v>41956681.000200301</v>
      </c>
    </row>
    <row r="818" spans="1:13" ht="14.4" hidden="1">
      <c r="A818" s="137"/>
      <c r="B818" s="253" t="s">
        <v>210</v>
      </c>
      <c r="C818" s="185">
        <v>29224340</v>
      </c>
      <c r="D818" s="185">
        <v>32285300</v>
      </c>
      <c r="E818" s="281">
        <v>32283779</v>
      </c>
      <c r="F818" s="185">
        <v>36103656</v>
      </c>
      <c r="G818" s="281">
        <v>36099675</v>
      </c>
      <c r="H818" s="185">
        <v>39072483</v>
      </c>
      <c r="I818" s="281">
        <v>39372411</v>
      </c>
      <c r="J818" s="281">
        <v>40208388</v>
      </c>
      <c r="K818" s="186">
        <v>41956681.000200301</v>
      </c>
    </row>
    <row r="819" spans="1:13" ht="14.4" hidden="1">
      <c r="A819" s="137"/>
      <c r="B819" s="253" t="s">
        <v>211</v>
      </c>
      <c r="C819" s="185">
        <v>29224340</v>
      </c>
      <c r="D819" s="185">
        <v>32285300</v>
      </c>
      <c r="E819" s="281">
        <v>32283779</v>
      </c>
      <c r="F819" s="185">
        <v>36103656</v>
      </c>
      <c r="G819" s="281">
        <v>36099675</v>
      </c>
      <c r="H819" s="185">
        <v>39072483</v>
      </c>
      <c r="I819" s="281">
        <v>39372411</v>
      </c>
      <c r="J819" s="281">
        <v>40208388</v>
      </c>
      <c r="K819" s="186">
        <v>41956681.000200301</v>
      </c>
    </row>
    <row r="820" spans="1:13" ht="14.4" hidden="1">
      <c r="A820" s="137"/>
      <c r="B820" s="253" t="s">
        <v>212</v>
      </c>
      <c r="C820" s="185">
        <v>29224340</v>
      </c>
      <c r="D820" s="185">
        <v>32285300</v>
      </c>
      <c r="E820" s="281">
        <v>32283779</v>
      </c>
      <c r="F820" s="185">
        <v>36103656</v>
      </c>
      <c r="G820" s="281">
        <v>36099675</v>
      </c>
      <c r="H820" s="185">
        <v>39072483</v>
      </c>
      <c r="I820" s="281">
        <v>39372411</v>
      </c>
      <c r="J820" s="281">
        <v>40208388</v>
      </c>
      <c r="K820" s="186">
        <v>41956681.000200301</v>
      </c>
    </row>
    <row r="821" spans="1:13" ht="14.4" hidden="1">
      <c r="A821" s="137"/>
      <c r="B821" s="253" t="s">
        <v>213</v>
      </c>
      <c r="C821" s="185">
        <v>29224340</v>
      </c>
      <c r="D821" s="185">
        <v>32285300</v>
      </c>
      <c r="E821" s="281">
        <v>32283779</v>
      </c>
      <c r="F821" s="185">
        <v>36103656</v>
      </c>
      <c r="G821" s="281">
        <v>36099675</v>
      </c>
      <c r="H821" s="185">
        <v>39072483</v>
      </c>
      <c r="I821" s="281">
        <v>39372411</v>
      </c>
      <c r="J821" s="281">
        <v>40208388</v>
      </c>
      <c r="K821" s="186">
        <v>41956681.000200301</v>
      </c>
    </row>
    <row r="822" spans="1:13" ht="14.4" hidden="1">
      <c r="A822" s="137"/>
      <c r="B822" s="253" t="s">
        <v>214</v>
      </c>
      <c r="C822" s="185">
        <v>29224340</v>
      </c>
      <c r="D822" s="185">
        <v>32285300</v>
      </c>
      <c r="E822" s="281">
        <v>32283779</v>
      </c>
      <c r="F822" s="185">
        <v>36103656</v>
      </c>
      <c r="G822" s="281">
        <v>36099675</v>
      </c>
      <c r="H822" s="185">
        <v>39072483</v>
      </c>
      <c r="I822" s="281">
        <v>39372411</v>
      </c>
      <c r="J822" s="281">
        <v>40208388</v>
      </c>
      <c r="K822" s="186">
        <v>41956681.000200301</v>
      </c>
    </row>
    <row r="823" spans="1:13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3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3" ht="14.4" hidden="1">
      <c r="A825" s="137"/>
      <c r="B825" s="137"/>
      <c r="C825" s="137"/>
      <c r="D825" s="137"/>
      <c r="E825" s="137"/>
      <c r="F825" s="137"/>
      <c r="G825" s="137"/>
      <c r="H825" s="137"/>
      <c r="I825" s="247" t="s">
        <v>258</v>
      </c>
      <c r="J825" s="248"/>
      <c r="K825" s="248"/>
      <c r="L825" s="249"/>
      <c r="M825" s="249"/>
    </row>
    <row r="826" spans="1:13" ht="14.4" hidden="1">
      <c r="A826" s="137"/>
      <c r="B826" s="137"/>
      <c r="C826" s="137"/>
      <c r="D826" s="137"/>
      <c r="E826" s="137"/>
      <c r="F826" s="137"/>
      <c r="G826" s="137"/>
      <c r="H826" s="137"/>
      <c r="I826" t="s">
        <v>228</v>
      </c>
      <c r="J826" s="137"/>
    </row>
    <row r="827" spans="1:13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3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3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3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3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3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G152:G16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4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219" customWidth="1"/>
    <col min="2" max="2" width="17.109375" style="219" hidden="1" customWidth="1"/>
    <col min="3" max="4" width="13.33203125" style="219" hidden="1" customWidth="1"/>
    <col min="5" max="5" width="12.5546875" style="219" hidden="1" customWidth="1"/>
    <col min="6" max="6" width="17.109375" style="219" hidden="1" customWidth="1"/>
    <col min="7" max="7" width="13.33203125" style="219" customWidth="1"/>
    <col min="8" max="8" width="13.33203125" style="219" hidden="1" customWidth="1"/>
    <col min="9" max="9" width="12.5546875" style="219" hidden="1" customWidth="1"/>
    <col min="10" max="10" width="16.5546875" style="219" hidden="1" customWidth="1"/>
    <col min="11" max="11" width="14" style="219" customWidth="1"/>
    <col min="12" max="12" width="17.109375" style="219" hidden="1" customWidth="1"/>
    <col min="13" max="13" width="13.33203125" style="219" customWidth="1"/>
    <col min="14" max="14" width="13.33203125" style="219" hidden="1" customWidth="1"/>
    <col min="15" max="15" width="12.5546875" style="219" hidden="1" customWidth="1"/>
    <col min="16" max="16" width="16.5546875" style="219" hidden="1" customWidth="1"/>
    <col min="17" max="17" width="14" style="219" customWidth="1"/>
    <col min="18" max="18" width="17.109375" style="219" hidden="1" customWidth="1"/>
    <col min="19" max="19" width="13.33203125" style="219" customWidth="1"/>
    <col min="20" max="20" width="13.33203125" style="219" hidden="1" customWidth="1"/>
    <col min="21" max="21" width="12.5546875" style="219" hidden="1" customWidth="1"/>
    <col min="22" max="22" width="16.5546875" style="219" hidden="1" customWidth="1"/>
    <col min="23" max="23" width="14" style="219" customWidth="1"/>
    <col min="24" max="24" width="17.109375" style="219" hidden="1" customWidth="1"/>
    <col min="25" max="25" width="13.33203125" style="219" customWidth="1"/>
    <col min="26" max="26" width="13.33203125" style="219" hidden="1" customWidth="1"/>
    <col min="27" max="27" width="12.5546875" style="219" hidden="1" customWidth="1"/>
    <col min="28" max="28" width="16.5546875" style="219" hidden="1" customWidth="1"/>
    <col min="29" max="29" width="14" style="219" customWidth="1"/>
    <col min="30" max="30" width="9.109375" style="219" customWidth="1"/>
    <col min="31" max="16384" width="9.109375" style="219" hidden="1"/>
  </cols>
  <sheetData>
    <row r="1" spans="1:30">
      <c r="A1" s="286" t="s">
        <v>0</v>
      </c>
      <c r="B1" s="286"/>
      <c r="C1" s="286"/>
      <c r="D1" s="286"/>
      <c r="E1" s="286"/>
      <c r="F1" s="286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49" t="s">
        <v>240</v>
      </c>
      <c r="B2" s="49"/>
      <c r="C2" s="287"/>
      <c r="D2" s="49"/>
      <c r="E2" s="49"/>
      <c r="F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50"/>
      <c r="B3" s="346">
        <v>2020</v>
      </c>
      <c r="C3" s="347"/>
      <c r="D3" s="347"/>
      <c r="E3" s="347"/>
      <c r="F3" s="348">
        <v>2021</v>
      </c>
      <c r="G3" s="347"/>
      <c r="H3" s="347"/>
      <c r="I3" s="347"/>
      <c r="J3" s="347"/>
      <c r="K3" s="349"/>
      <c r="L3" s="348">
        <v>2022</v>
      </c>
      <c r="M3" s="347"/>
      <c r="N3" s="347"/>
      <c r="O3" s="347"/>
      <c r="P3" s="347"/>
      <c r="Q3" s="349"/>
      <c r="R3" s="348">
        <v>2023</v>
      </c>
      <c r="S3" s="347"/>
      <c r="T3" s="347"/>
      <c r="U3" s="347"/>
      <c r="V3" s="347"/>
      <c r="W3" s="349"/>
      <c r="X3" s="347">
        <v>2024</v>
      </c>
      <c r="Y3" s="347"/>
      <c r="Z3" s="347"/>
      <c r="AA3" s="347"/>
      <c r="AB3" s="347"/>
      <c r="AC3" s="350"/>
      <c r="AD3" s="48"/>
    </row>
    <row r="4" spans="1:30" ht="41.4">
      <c r="A4" s="288"/>
      <c r="B4" s="289" t="s">
        <v>241</v>
      </c>
      <c r="C4" s="289" t="s">
        <v>27</v>
      </c>
      <c r="D4" s="289" t="s">
        <v>242</v>
      </c>
      <c r="E4" s="289" t="s">
        <v>243</v>
      </c>
      <c r="F4" s="290" t="s">
        <v>241</v>
      </c>
      <c r="G4" s="289" t="s">
        <v>27</v>
      </c>
      <c r="H4" s="289" t="s">
        <v>242</v>
      </c>
      <c r="I4" s="289" t="s">
        <v>243</v>
      </c>
      <c r="J4" s="289" t="s">
        <v>230</v>
      </c>
      <c r="K4" s="291" t="s">
        <v>202</v>
      </c>
      <c r="L4" s="290" t="s">
        <v>241</v>
      </c>
      <c r="M4" s="289" t="s">
        <v>27</v>
      </c>
      <c r="N4" s="289" t="s">
        <v>242</v>
      </c>
      <c r="O4" s="289" t="s">
        <v>243</v>
      </c>
      <c r="P4" s="289" t="s">
        <v>230</v>
      </c>
      <c r="Q4" s="291" t="s">
        <v>202</v>
      </c>
      <c r="R4" s="290" t="s">
        <v>241</v>
      </c>
      <c r="S4" s="289" t="s">
        <v>27</v>
      </c>
      <c r="T4" s="289" t="s">
        <v>242</v>
      </c>
      <c r="U4" s="289" t="s">
        <v>243</v>
      </c>
      <c r="V4" s="289" t="s">
        <v>230</v>
      </c>
      <c r="W4" s="291" t="s">
        <v>202</v>
      </c>
      <c r="X4" s="292" t="s">
        <v>241</v>
      </c>
      <c r="Y4" s="289" t="s">
        <v>27</v>
      </c>
      <c r="Z4" s="289" t="s">
        <v>242</v>
      </c>
      <c r="AA4" s="289" t="s">
        <v>243</v>
      </c>
      <c r="AB4" s="289" t="s">
        <v>230</v>
      </c>
      <c r="AC4" s="293" t="s">
        <v>202</v>
      </c>
      <c r="AD4" s="59"/>
    </row>
    <row r="5" spans="1:30">
      <c r="A5" s="14" t="s">
        <v>245</v>
      </c>
      <c r="B5" s="294">
        <v>-5.5608207448481321E-3</v>
      </c>
      <c r="C5" s="294">
        <f>C6/1000/29224.34</f>
        <v>-3.8491724227134004E-2</v>
      </c>
      <c r="D5" s="295" t="s">
        <v>244</v>
      </c>
      <c r="E5" s="296">
        <f>(C5-B5)*100</f>
        <v>-3.2930903482285876</v>
      </c>
      <c r="F5" s="297">
        <v>-4.2169803633984121E-2</v>
      </c>
      <c r="G5" s="294">
        <f>G6/'[1]2'!$D561</f>
        <v>-5.7141584993789789E-2</v>
      </c>
      <c r="H5" s="295" t="s">
        <v>244</v>
      </c>
      <c r="I5" s="298">
        <f>(G5-F5)*100</f>
        <v>-1.4971781359805667</v>
      </c>
      <c r="J5" s="295" t="s">
        <v>244</v>
      </c>
      <c r="K5" s="299">
        <f>(G5-C5)*100</f>
        <v>-1.8649860766655784</v>
      </c>
      <c r="L5" s="297">
        <v>-5.778180311213104E-2</v>
      </c>
      <c r="M5" s="294">
        <f>M6/'[1]2'!$F561</f>
        <v>-3.9438550018313943E-2</v>
      </c>
      <c r="N5" s="295" t="s">
        <v>244</v>
      </c>
      <c r="O5" s="298">
        <f>(M5-L5)*100</f>
        <v>1.8343253093817098</v>
      </c>
      <c r="P5" s="295" t="s">
        <v>244</v>
      </c>
      <c r="Q5" s="299">
        <f>(M5-G5)*100</f>
        <v>1.7703034975475846</v>
      </c>
      <c r="R5" s="297">
        <v>-4.6907784198949642E-2</v>
      </c>
      <c r="S5" s="300">
        <f>S6/'[1]2'!$H561</f>
        <v>-3.4038407234062942E-2</v>
      </c>
      <c r="T5" s="295" t="s">
        <v>244</v>
      </c>
      <c r="U5" s="298">
        <f>(S5-R5)*100</f>
        <v>1.2869376964886701</v>
      </c>
      <c r="V5" s="295" t="s">
        <v>244</v>
      </c>
      <c r="W5" s="299">
        <f>(S5-M5)*100</f>
        <v>0.54001427842510008</v>
      </c>
      <c r="X5" s="301">
        <v>-3.9143321827966981E-2</v>
      </c>
      <c r="Y5" s="294">
        <f>Y6/'[1]2'!$I561</f>
        <v>-1.8319419025962808E-2</v>
      </c>
      <c r="Z5" s="295" t="s">
        <v>244</v>
      </c>
      <c r="AA5" s="298">
        <f>(Y5-X5)*100</f>
        <v>2.0823902802004173</v>
      </c>
      <c r="AB5" s="295" t="s">
        <v>244</v>
      </c>
      <c r="AC5" s="302">
        <f>(Y5-S5)*100</f>
        <v>1.5718988208100133</v>
      </c>
      <c r="AD5" s="59"/>
    </row>
    <row r="6" spans="1:30">
      <c r="A6" s="5" t="s">
        <v>1</v>
      </c>
      <c r="B6" s="6">
        <f>B7-B13</f>
        <v>-184365.8813321013</v>
      </c>
      <c r="C6" s="6">
        <f>C7-C13</f>
        <v>-1124895.2360000014</v>
      </c>
      <c r="D6" s="6">
        <f>C6-B6</f>
        <v>-940529.35466790013</v>
      </c>
      <c r="E6" s="303">
        <f>((C6-B6)/ABS(B6))*100</f>
        <v>-510.14284631857078</v>
      </c>
      <c r="F6" s="304">
        <f t="shared" ref="F6:Y6" si="0">F7-F13</f>
        <v>-1266032.6436968874</v>
      </c>
      <c r="G6" s="6">
        <f t="shared" si="0"/>
        <v>-1844833.2140000015</v>
      </c>
      <c r="H6" s="6">
        <f t="shared" ref="H6:H7" si="1">G6-F6</f>
        <v>-578800.57030311413</v>
      </c>
      <c r="I6" s="305">
        <f>((G6-F6)/ABS(F6))*100</f>
        <v>-45.717665589805293</v>
      </c>
      <c r="J6" s="6">
        <f t="shared" ref="J6:J7" si="2">G6-C6</f>
        <v>-719937.97800000012</v>
      </c>
      <c r="K6" s="306">
        <f>((G6-C6)/ABS(C6))*100</f>
        <v>-64.000446882504107</v>
      </c>
      <c r="L6" s="304">
        <f t="shared" si="0"/>
        <v>-1965839.1860829145</v>
      </c>
      <c r="M6" s="6">
        <f t="shared" si="0"/>
        <v>-1423875.8430000003</v>
      </c>
      <c r="N6" s="6">
        <f t="shared" ref="N6:N7" si="3">M6-L6</f>
        <v>541963.34308291413</v>
      </c>
      <c r="O6" s="305">
        <f>((M6-L6)/ABS(L6))*100</f>
        <v>27.569057882237953</v>
      </c>
      <c r="P6" s="170">
        <f>M6-G6</f>
        <v>420957.37100000121</v>
      </c>
      <c r="Q6" s="307">
        <f>((M6-G6)/ABS(G6))*100</f>
        <v>22.818180408150482</v>
      </c>
      <c r="R6" s="304">
        <f t="shared" si="0"/>
        <v>-1999046.9412297346</v>
      </c>
      <c r="S6" s="6">
        <f t="shared" si="0"/>
        <v>-1329965.0880000014</v>
      </c>
      <c r="T6" s="6">
        <f t="shared" ref="T6:T7" si="4">S6-R6</f>
        <v>669081.85322973318</v>
      </c>
      <c r="U6" s="305">
        <f>((S6-R6)/ABS(R6))*100</f>
        <v>33.47004212007851</v>
      </c>
      <c r="V6" s="6">
        <f>S6-M6</f>
        <v>93910.754999998957</v>
      </c>
      <c r="W6" s="307">
        <f>((S6-M6)/ABS(M6))*100</f>
        <v>6.5954314388911879</v>
      </c>
      <c r="X6" s="191">
        <f t="shared" si="0"/>
        <v>-1781977.3346006237</v>
      </c>
      <c r="Y6" s="6">
        <f t="shared" si="0"/>
        <v>-733124.83000000566</v>
      </c>
      <c r="Z6" s="6">
        <f t="shared" ref="Z6:Z7" si="5">Y6-X6</f>
        <v>1048852.504600618</v>
      </c>
      <c r="AA6" s="305">
        <f>((Y6-X6)/ABS(X6))*100</f>
        <v>58.858913872531751</v>
      </c>
      <c r="AB6" s="6">
        <f t="shared" ref="AB6:AB7" si="6">Y6-S6</f>
        <v>596840.25799999572</v>
      </c>
      <c r="AC6" s="305">
        <f>((Y6-S6)/ABS(S6))*100</f>
        <v>44.87638535666548</v>
      </c>
      <c r="AD6" s="59"/>
    </row>
    <row r="7" spans="1:30">
      <c r="A7" s="12" t="s">
        <v>2</v>
      </c>
      <c r="B7" s="171">
        <f>SUM(B8:B12)</f>
        <v>11857222.329</v>
      </c>
      <c r="C7" s="171">
        <f>SUM(C8:C12)</f>
        <v>11337318.135999998</v>
      </c>
      <c r="D7" s="171">
        <f>C7-B7</f>
        <v>-519904.19300000183</v>
      </c>
      <c r="E7" s="308">
        <f t="shared" ref="E7:E8" si="7">(C7/B7)*100-100</f>
        <v>-4.3847047695853405</v>
      </c>
      <c r="F7" s="309">
        <f>SUM(F8:F12)</f>
        <v>11505167.982000001</v>
      </c>
      <c r="G7" s="171">
        <f t="shared" ref="G7:M7" si="8">SUM(G8:G12)</f>
        <v>12549202.949999999</v>
      </c>
      <c r="H7" s="171">
        <f t="shared" si="1"/>
        <v>1044034.9679999985</v>
      </c>
      <c r="I7" s="310">
        <f t="shared" ref="I7" si="9">(G7/F7)*100-100</f>
        <v>9.0744869578037139</v>
      </c>
      <c r="J7" s="171">
        <f t="shared" si="2"/>
        <v>1211884.8140000012</v>
      </c>
      <c r="K7" s="311">
        <f t="shared" ref="K7" si="10">(G7/C7)*100-100</f>
        <v>10.68934292451263</v>
      </c>
      <c r="L7" s="309">
        <f t="shared" si="8"/>
        <v>12684579.008000001</v>
      </c>
      <c r="M7" s="171">
        <f t="shared" si="8"/>
        <v>14294401.175999999</v>
      </c>
      <c r="N7" s="171">
        <f t="shared" si="3"/>
        <v>1609822.1679999977</v>
      </c>
      <c r="O7" s="310">
        <f>(M7/L7)*100-100</f>
        <v>12.6911753790544</v>
      </c>
      <c r="P7" s="171">
        <f>M7-G7</f>
        <v>1745198.2259999998</v>
      </c>
      <c r="Q7" s="312">
        <f>(M7/G7)*100-100</f>
        <v>13.906845183342909</v>
      </c>
      <c r="R7" s="309">
        <f>SUM(R8:R12)</f>
        <v>15094043.824000001</v>
      </c>
      <c r="S7" s="171">
        <f>SUM(S8:S12)</f>
        <v>15627991.573999999</v>
      </c>
      <c r="T7" s="171">
        <f t="shared" si="4"/>
        <v>533947.74999999814</v>
      </c>
      <c r="U7" s="310">
        <f>(S7/R7)*100-100</f>
        <v>3.537473166408887</v>
      </c>
      <c r="V7" s="171">
        <f>S7-M7</f>
        <v>1333590.398</v>
      </c>
      <c r="W7" s="312">
        <f t="shared" ref="W7:W20" si="11">(S7/M7)*100-100</f>
        <v>9.3294597064973175</v>
      </c>
      <c r="X7" s="313">
        <f>SUM(X8:X12)</f>
        <v>17117001.537000004</v>
      </c>
      <c r="Y7" s="171">
        <f>SUM(Y8:Y12)</f>
        <v>17145707.653999995</v>
      </c>
      <c r="Z7" s="171">
        <f t="shared" si="5"/>
        <v>28706.116999991238</v>
      </c>
      <c r="AA7" s="310">
        <f>(Y7/X7)*100-100</f>
        <v>0.16770528960891795</v>
      </c>
      <c r="AB7" s="171">
        <f t="shared" si="6"/>
        <v>1517716.0799999963</v>
      </c>
      <c r="AC7" s="310">
        <f>(Y7/S7)*100-100</f>
        <v>9.7115235365559727</v>
      </c>
      <c r="AD7" s="59"/>
    </row>
    <row r="8" spans="1:30">
      <c r="A8" s="13" t="s">
        <v>3</v>
      </c>
      <c r="B8" s="125">
        <v>9681919.6940000001</v>
      </c>
      <c r="C8" s="125">
        <v>9006547.0219999999</v>
      </c>
      <c r="D8" s="125">
        <f>C8-B8</f>
        <v>-675372.67200000025</v>
      </c>
      <c r="E8" s="314">
        <f t="shared" si="7"/>
        <v>-6.9756070422535856</v>
      </c>
      <c r="F8" s="263">
        <v>9341523.8690000009</v>
      </c>
      <c r="G8" s="125">
        <v>10031043.437999999</v>
      </c>
      <c r="H8" s="125">
        <f>G8-F8</f>
        <v>689519.56899999827</v>
      </c>
      <c r="I8" s="315">
        <f>(G8/F8)*100-100</f>
        <v>7.3812322129602563</v>
      </c>
      <c r="J8" s="125">
        <f>G8-C8</f>
        <v>1024496.4159999993</v>
      </c>
      <c r="K8" s="316">
        <f>(G8/C8)*100-100</f>
        <v>11.375018789081935</v>
      </c>
      <c r="L8" s="263">
        <v>10190683.665000001</v>
      </c>
      <c r="M8" s="125">
        <v>11557279.546</v>
      </c>
      <c r="N8" s="125">
        <f>M8-L8</f>
        <v>1366595.8809999991</v>
      </c>
      <c r="O8" s="315">
        <f>(M8/L8)*100-100</f>
        <v>13.410247299634918</v>
      </c>
      <c r="P8" s="125">
        <f>M8-G8</f>
        <v>1526236.1080000009</v>
      </c>
      <c r="Q8" s="316">
        <f>(M8/G8)*100-100</f>
        <v>15.215128091443148</v>
      </c>
      <c r="R8" s="263">
        <v>12286667.954</v>
      </c>
      <c r="S8" s="125">
        <v>12600411.948999999</v>
      </c>
      <c r="T8" s="174">
        <f>S8-R8</f>
        <v>313743.99499999918</v>
      </c>
      <c r="U8" s="130">
        <f t="shared" ref="U8:U20" si="12">(S8/R8)*100-100</f>
        <v>2.5535319760786592</v>
      </c>
      <c r="V8" s="175">
        <f>S8-M8</f>
        <v>1043132.402999999</v>
      </c>
      <c r="W8" s="317">
        <f t="shared" si="11"/>
        <v>9.0257607670399409</v>
      </c>
      <c r="X8" s="174">
        <v>13804572.522</v>
      </c>
      <c r="Y8" s="125">
        <v>13583513.608999999</v>
      </c>
      <c r="Z8" s="125">
        <f>Y8-X8</f>
        <v>-221058.91300000064</v>
      </c>
      <c r="AA8" s="315">
        <f>(Y8/X8)*100-100</f>
        <v>-1.601345587831176</v>
      </c>
      <c r="AB8" s="125">
        <f>Y8-S8</f>
        <v>983101.66000000015</v>
      </c>
      <c r="AC8" s="318">
        <f>(Y8/S8)*100-100</f>
        <v>7.8021390410019364</v>
      </c>
      <c r="AD8" s="59"/>
    </row>
    <row r="9" spans="1:30">
      <c r="A9" s="13" t="s">
        <v>4</v>
      </c>
      <c r="B9" s="125">
        <v>596059.78299999994</v>
      </c>
      <c r="C9" s="125">
        <v>666280.32499999995</v>
      </c>
      <c r="D9" s="125">
        <f>C9-B9</f>
        <v>70220.542000000016</v>
      </c>
      <c r="E9" s="314">
        <f>(C9/B9)*100-100</f>
        <v>11.780788438128866</v>
      </c>
      <c r="F9" s="263">
        <v>569700.44299999997</v>
      </c>
      <c r="G9" s="125">
        <v>771242.71600000001</v>
      </c>
      <c r="H9" s="125">
        <f t="shared" ref="H9:H20" si="13">G9-F9</f>
        <v>201542.27300000004</v>
      </c>
      <c r="I9" s="315">
        <f t="shared" ref="I9:I20" si="14">(G9/F9)*100-100</f>
        <v>35.376885427487736</v>
      </c>
      <c r="J9" s="125">
        <f t="shared" ref="J9:J20" si="15">G9-C9</f>
        <v>104962.39100000006</v>
      </c>
      <c r="K9" s="316">
        <f t="shared" ref="K9:K20" si="16">(G9/C9)*100-100</f>
        <v>15.753487993210683</v>
      </c>
      <c r="L9" s="263">
        <v>618563.78099999996</v>
      </c>
      <c r="M9" s="125">
        <v>845036.90500000003</v>
      </c>
      <c r="N9" s="125">
        <f>M9-L9</f>
        <v>226473.12400000007</v>
      </c>
      <c r="O9" s="315">
        <f t="shared" ref="O9:O20" si="17">(M9/L9)*100-100</f>
        <v>36.612735979121283</v>
      </c>
      <c r="P9" s="125">
        <f t="shared" ref="P9:P20" si="18">M9-G9</f>
        <v>73794.189000000013</v>
      </c>
      <c r="Q9" s="316">
        <f t="shared" ref="Q9:Q20" si="19">(M9/G9)*100-100</f>
        <v>9.5682185995517415</v>
      </c>
      <c r="R9" s="263">
        <v>847516.10700000019</v>
      </c>
      <c r="S9" s="125">
        <v>1063587.362</v>
      </c>
      <c r="T9" s="174">
        <f t="shared" ref="T9:T20" si="20">S9-R9</f>
        <v>216071.25499999977</v>
      </c>
      <c r="U9" s="130">
        <f>(S9/R9)*100-100</f>
        <v>25.494648799636295</v>
      </c>
      <c r="V9" s="175">
        <f t="shared" ref="V9:V20" si="21">S9-M9</f>
        <v>218550.45699999994</v>
      </c>
      <c r="W9" s="317">
        <f t="shared" si="11"/>
        <v>25.862829860667432</v>
      </c>
      <c r="X9" s="174">
        <v>965806.23499999999</v>
      </c>
      <c r="Y9" s="125">
        <v>1220006.236</v>
      </c>
      <c r="Z9" s="125">
        <f t="shared" ref="Z9:Z20" si="22">Y9-X9</f>
        <v>254200.00100000005</v>
      </c>
      <c r="AA9" s="315">
        <f t="shared" ref="AA9:AA20" si="23">(Y9/X9)*100-100</f>
        <v>26.319979286528422</v>
      </c>
      <c r="AB9" s="125">
        <f t="shared" ref="AB9:AB20" si="24">Y9-S9</f>
        <v>156418.87400000007</v>
      </c>
      <c r="AC9" s="318">
        <f t="shared" ref="AC9:AC20" si="25">(Y9/S9)*100-100</f>
        <v>14.70672552049372</v>
      </c>
      <c r="AD9" s="59"/>
    </row>
    <row r="10" spans="1:30">
      <c r="A10" s="13" t="s">
        <v>5</v>
      </c>
      <c r="B10" s="125">
        <v>359132.59100000001</v>
      </c>
      <c r="C10" s="125">
        <v>348370.77899999998</v>
      </c>
      <c r="D10" s="125">
        <f t="shared" ref="D10:D12" si="26">C10-B10</f>
        <v>-10761.812000000034</v>
      </c>
      <c r="E10" s="314">
        <f t="shared" ref="E10:E20" si="27">(C10/B10)*100-100</f>
        <v>-2.9966124684016791</v>
      </c>
      <c r="F10" s="263">
        <v>369134.58199999999</v>
      </c>
      <c r="G10" s="125">
        <v>372487.68699999998</v>
      </c>
      <c r="H10" s="125">
        <f t="shared" si="13"/>
        <v>3353.1049999999814</v>
      </c>
      <c r="I10" s="315">
        <f t="shared" si="14"/>
        <v>0.90836924078816139</v>
      </c>
      <c r="J10" s="125">
        <f t="shared" si="15"/>
        <v>24116.907999999996</v>
      </c>
      <c r="K10" s="316">
        <f t="shared" si="16"/>
        <v>6.9227700639036698</v>
      </c>
      <c r="L10" s="263">
        <v>363503.05700000003</v>
      </c>
      <c r="M10" s="125">
        <v>424920.99099999998</v>
      </c>
      <c r="N10" s="125">
        <f t="shared" ref="N10:N20" si="28">M10-L10</f>
        <v>61417.93399999995</v>
      </c>
      <c r="O10" s="315">
        <f t="shared" si="17"/>
        <v>16.896125855689831</v>
      </c>
      <c r="P10" s="125">
        <f t="shared" si="18"/>
        <v>52433.304000000004</v>
      </c>
      <c r="Q10" s="316">
        <f t="shared" si="19"/>
        <v>14.076520064943779</v>
      </c>
      <c r="R10" s="263">
        <v>423142.02299999999</v>
      </c>
      <c r="S10" s="125">
        <v>483805.66100000002</v>
      </c>
      <c r="T10" s="174">
        <f t="shared" si="20"/>
        <v>60663.638000000035</v>
      </c>
      <c r="U10" s="130">
        <f t="shared" si="12"/>
        <v>14.336472083274998</v>
      </c>
      <c r="V10" s="175">
        <f t="shared" si="21"/>
        <v>58884.670000000042</v>
      </c>
      <c r="W10" s="317">
        <f t="shared" si="11"/>
        <v>13.857792683157896</v>
      </c>
      <c r="X10" s="174">
        <v>464771.45199999999</v>
      </c>
      <c r="Y10" s="125">
        <v>538557.576</v>
      </c>
      <c r="Z10" s="125">
        <f t="shared" si="22"/>
        <v>73786.124000000011</v>
      </c>
      <c r="AA10" s="315">
        <f>(Y10/X10)*100-100</f>
        <v>15.875786622109487</v>
      </c>
      <c r="AB10" s="125">
        <f t="shared" si="24"/>
        <v>54751.914999999979</v>
      </c>
      <c r="AC10" s="318">
        <f t="shared" si="25"/>
        <v>11.316923180855468</v>
      </c>
      <c r="AD10" s="59"/>
    </row>
    <row r="11" spans="1:30">
      <c r="A11" s="13" t="s">
        <v>226</v>
      </c>
      <c r="B11" s="125">
        <v>1219010.2609999999</v>
      </c>
      <c r="C11" s="125">
        <v>1310288.9539999999</v>
      </c>
      <c r="D11" s="125">
        <f t="shared" si="26"/>
        <v>91278.69299999997</v>
      </c>
      <c r="E11" s="314">
        <f t="shared" si="27"/>
        <v>7.4879347549643001</v>
      </c>
      <c r="F11" s="263">
        <v>1222309.088</v>
      </c>
      <c r="G11" s="125">
        <v>1370983.977</v>
      </c>
      <c r="H11" s="125">
        <f t="shared" si="13"/>
        <v>148674.88899999997</v>
      </c>
      <c r="I11" s="315">
        <f t="shared" si="14"/>
        <v>12.163444619663991</v>
      </c>
      <c r="J11" s="125">
        <f t="shared" si="15"/>
        <v>60695.023000000045</v>
      </c>
      <c r="K11" s="316">
        <f t="shared" si="16"/>
        <v>4.6321861154909811</v>
      </c>
      <c r="L11" s="263">
        <v>1511228.5049999999</v>
      </c>
      <c r="M11" s="125">
        <v>1465549.9069999999</v>
      </c>
      <c r="N11" s="125">
        <f t="shared" si="28"/>
        <v>-45678.597999999998</v>
      </c>
      <c r="O11" s="315">
        <f t="shared" si="17"/>
        <v>-3.0226135788776674</v>
      </c>
      <c r="P11" s="125">
        <f t="shared" si="18"/>
        <v>94565.929999999935</v>
      </c>
      <c r="Q11" s="316">
        <f t="shared" si="19"/>
        <v>6.8976685057202474</v>
      </c>
      <c r="R11" s="263">
        <v>1536017.74</v>
      </c>
      <c r="S11" s="125">
        <v>1478206.713</v>
      </c>
      <c r="T11" s="174">
        <f t="shared" si="20"/>
        <v>-57811.027000000002</v>
      </c>
      <c r="U11" s="130">
        <f t="shared" si="12"/>
        <v>-3.7636952682590845</v>
      </c>
      <c r="V11" s="175">
        <f t="shared" si="21"/>
        <v>12656.806000000099</v>
      </c>
      <c r="W11" s="317">
        <f t="shared" si="11"/>
        <v>0.86362163032092099</v>
      </c>
      <c r="X11" s="174">
        <v>1880651.328</v>
      </c>
      <c r="Y11" s="125">
        <v>1801451.585</v>
      </c>
      <c r="Z11" s="125">
        <f t="shared" si="22"/>
        <v>-79199.743000000017</v>
      </c>
      <c r="AA11" s="315">
        <f t="shared" si="23"/>
        <v>-4.2112932801970118</v>
      </c>
      <c r="AB11" s="125">
        <f t="shared" si="24"/>
        <v>323244.87199999997</v>
      </c>
      <c r="AC11" s="318">
        <f>(Y11/S11)*100-100</f>
        <v>21.867365988615958</v>
      </c>
      <c r="AD11" s="59"/>
    </row>
    <row r="12" spans="1:30">
      <c r="A12" s="13" t="s">
        <v>255</v>
      </c>
      <c r="B12" s="125">
        <v>1100.0000000001364</v>
      </c>
      <c r="C12" s="125">
        <v>5831.0560000000005</v>
      </c>
      <c r="D12" s="125">
        <f t="shared" si="26"/>
        <v>4731.0559999998641</v>
      </c>
      <c r="E12" s="314">
        <f t="shared" si="27"/>
        <v>430.09599999993429</v>
      </c>
      <c r="F12" s="263">
        <v>2500.0000000004547</v>
      </c>
      <c r="G12" s="125">
        <v>3445.1320000000001</v>
      </c>
      <c r="H12" s="125">
        <f t="shared" si="13"/>
        <v>945.13199999954531</v>
      </c>
      <c r="I12" s="315">
        <f t="shared" si="14"/>
        <v>37.805279999974942</v>
      </c>
      <c r="J12" s="125">
        <f t="shared" si="15"/>
        <v>-2385.9240000000004</v>
      </c>
      <c r="K12" s="316">
        <f t="shared" si="16"/>
        <v>-40.917528488836332</v>
      </c>
      <c r="L12" s="263">
        <v>600.00000000059117</v>
      </c>
      <c r="M12" s="125">
        <v>1613.827</v>
      </c>
      <c r="N12" s="125">
        <f t="shared" si="28"/>
        <v>1013.8269999994088</v>
      </c>
      <c r="O12" s="315">
        <f t="shared" si="17"/>
        <v>168.97116666640164</v>
      </c>
      <c r="P12" s="125">
        <f t="shared" si="18"/>
        <v>-1831.3050000000001</v>
      </c>
      <c r="Q12" s="316">
        <f t="shared" si="19"/>
        <v>-53.156308669740376</v>
      </c>
      <c r="R12" s="263">
        <v>699.99999999959073</v>
      </c>
      <c r="S12" s="125">
        <v>1979.8889999999999</v>
      </c>
      <c r="T12" s="174">
        <f t="shared" si="20"/>
        <v>1279.8890000004092</v>
      </c>
      <c r="U12" s="130">
        <f t="shared" si="12"/>
        <v>182.84128571445109</v>
      </c>
      <c r="V12" s="175">
        <f t="shared" si="21"/>
        <v>366.0619999999999</v>
      </c>
      <c r="W12" s="317">
        <f t="shared" si="11"/>
        <v>22.682852622988705</v>
      </c>
      <c r="X12" s="174">
        <v>1200.0000000034561</v>
      </c>
      <c r="Y12" s="125">
        <v>2178.6480000000001</v>
      </c>
      <c r="Z12" s="125">
        <f t="shared" si="22"/>
        <v>978.64799999654406</v>
      </c>
      <c r="AA12" s="315">
        <f t="shared" si="23"/>
        <v>81.553999999477128</v>
      </c>
      <c r="AB12" s="125">
        <f t="shared" si="24"/>
        <v>198.75900000000024</v>
      </c>
      <c r="AC12" s="318">
        <f t="shared" si="25"/>
        <v>10.038896119934009</v>
      </c>
      <c r="AD12" s="59"/>
    </row>
    <row r="13" spans="1:30">
      <c r="A13" s="12" t="s">
        <v>7</v>
      </c>
      <c r="B13" s="171">
        <f>SUM(B14:B20)</f>
        <v>12041588.210332101</v>
      </c>
      <c r="C13" s="171">
        <f>SUM(C14:C20)</f>
        <v>12462213.372</v>
      </c>
      <c r="D13" s="171">
        <f>C13-B13</f>
        <v>420625.1616678983</v>
      </c>
      <c r="E13" s="308">
        <f t="shared" si="27"/>
        <v>3.4931036863309117</v>
      </c>
      <c r="F13" s="309">
        <f>SUM(F14:F20)</f>
        <v>12771200.625696888</v>
      </c>
      <c r="G13" s="171">
        <f t="shared" ref="G13:M13" si="29">SUM(G14:G20)</f>
        <v>14394036.164000001</v>
      </c>
      <c r="H13" s="171">
        <f t="shared" si="13"/>
        <v>1622835.5383031126</v>
      </c>
      <c r="I13" s="310">
        <f t="shared" si="14"/>
        <v>12.706992755542586</v>
      </c>
      <c r="J13" s="171">
        <f t="shared" si="15"/>
        <v>1931822.7920000013</v>
      </c>
      <c r="K13" s="312">
        <f t="shared" si="16"/>
        <v>15.501442114130427</v>
      </c>
      <c r="L13" s="309">
        <f t="shared" si="29"/>
        <v>14650418.194082916</v>
      </c>
      <c r="M13" s="171">
        <f t="shared" si="29"/>
        <v>15718277.018999999</v>
      </c>
      <c r="N13" s="171">
        <f t="shared" si="28"/>
        <v>1067858.8249170836</v>
      </c>
      <c r="O13" s="310">
        <f t="shared" si="17"/>
        <v>7.28893066921718</v>
      </c>
      <c r="P13" s="171">
        <f t="shared" si="18"/>
        <v>1324240.8549999986</v>
      </c>
      <c r="Q13" s="312">
        <f t="shared" si="19"/>
        <v>9.1999272470356175</v>
      </c>
      <c r="R13" s="309">
        <f>SUM(R14:R20)</f>
        <v>17093090.765229736</v>
      </c>
      <c r="S13" s="171">
        <f>SUM(S14:S20)</f>
        <v>16957956.662</v>
      </c>
      <c r="T13" s="171">
        <f t="shared" si="20"/>
        <v>-135134.10322973505</v>
      </c>
      <c r="U13" s="310">
        <f t="shared" si="12"/>
        <v>-0.7905773454653513</v>
      </c>
      <c r="V13" s="171">
        <f t="shared" si="21"/>
        <v>1239679.6430000011</v>
      </c>
      <c r="W13" s="312">
        <f t="shared" si="11"/>
        <v>7.8868672533350548</v>
      </c>
      <c r="X13" s="313">
        <f>SUM(X14:X20)</f>
        <v>18898978.871600628</v>
      </c>
      <c r="Y13" s="171">
        <f>SUM(Y14:Y20)</f>
        <v>17878832.484000001</v>
      </c>
      <c r="Z13" s="171">
        <f t="shared" si="22"/>
        <v>-1020146.3876006268</v>
      </c>
      <c r="AA13" s="310">
        <f t="shared" si="23"/>
        <v>-5.397891571452007</v>
      </c>
      <c r="AB13" s="171">
        <f t="shared" si="24"/>
        <v>920875.82200000063</v>
      </c>
      <c r="AC13" s="310">
        <f t="shared" si="25"/>
        <v>5.4303465939592428</v>
      </c>
      <c r="AD13" s="59"/>
    </row>
    <row r="14" spans="1:30">
      <c r="A14" s="203" t="s">
        <v>8</v>
      </c>
      <c r="B14" s="125">
        <v>2749575.7464448004</v>
      </c>
      <c r="C14" s="125">
        <v>2712205.5830000001</v>
      </c>
      <c r="D14" s="125">
        <f>C14-B14</f>
        <v>-37370.163444800302</v>
      </c>
      <c r="E14" s="314">
        <f t="shared" si="27"/>
        <v>-1.359124711989466</v>
      </c>
      <c r="F14" s="264">
        <v>2812262.2110514059</v>
      </c>
      <c r="G14" s="125">
        <v>2939510.773</v>
      </c>
      <c r="H14" s="125">
        <f t="shared" si="13"/>
        <v>127248.56194859417</v>
      </c>
      <c r="I14" s="315">
        <f t="shared" si="14"/>
        <v>4.5247758707755992</v>
      </c>
      <c r="J14" s="125">
        <f t="shared" si="15"/>
        <v>227305.18999999994</v>
      </c>
      <c r="K14" s="316">
        <f t="shared" si="16"/>
        <v>8.380824500352773</v>
      </c>
      <c r="L14" s="263">
        <v>3028196.6854385599</v>
      </c>
      <c r="M14" s="125">
        <v>3120124.74</v>
      </c>
      <c r="N14" s="125">
        <f t="shared" si="28"/>
        <v>91928.054561440367</v>
      </c>
      <c r="O14" s="315">
        <f t="shared" si="17"/>
        <v>3.0357359217612014</v>
      </c>
      <c r="P14" s="125">
        <f t="shared" si="18"/>
        <v>180613.96700000018</v>
      </c>
      <c r="Q14" s="316">
        <f t="shared" si="19"/>
        <v>6.1443546544879553</v>
      </c>
      <c r="R14" s="263">
        <v>3497699.9373240741</v>
      </c>
      <c r="S14" s="125">
        <v>3601431.5490000001</v>
      </c>
      <c r="T14" s="174">
        <f t="shared" si="20"/>
        <v>103731.61167592602</v>
      </c>
      <c r="U14" s="130">
        <f t="shared" si="12"/>
        <v>2.9657092813766752</v>
      </c>
      <c r="V14" s="175">
        <f t="shared" si="21"/>
        <v>481306.80899999989</v>
      </c>
      <c r="W14" s="317">
        <f t="shared" si="11"/>
        <v>15.425883549771143</v>
      </c>
      <c r="X14" s="174">
        <v>3950968.6030028192</v>
      </c>
      <c r="Y14" s="125">
        <v>4083867.9739999999</v>
      </c>
      <c r="Z14" s="125">
        <f t="shared" si="22"/>
        <v>132899.3709971807</v>
      </c>
      <c r="AA14" s="315">
        <f t="shared" si="23"/>
        <v>3.3637162010392814</v>
      </c>
      <c r="AB14" s="125">
        <f t="shared" si="24"/>
        <v>482436.42499999981</v>
      </c>
      <c r="AC14" s="318">
        <f t="shared" si="25"/>
        <v>13.395684977934863</v>
      </c>
      <c r="AD14" s="167"/>
    </row>
    <row r="15" spans="1:30">
      <c r="A15" s="13" t="s">
        <v>9</v>
      </c>
      <c r="B15" s="125">
        <v>1503760.6428865658</v>
      </c>
      <c r="C15" s="125">
        <v>1470176.4</v>
      </c>
      <c r="D15" s="125">
        <f t="shared" ref="D15:D20" si="30">C15-B15</f>
        <v>-33584.242886565858</v>
      </c>
      <c r="E15" s="314">
        <f t="shared" si="27"/>
        <v>-2.2333503038155555</v>
      </c>
      <c r="F15" s="263">
        <v>1598194.3130000001</v>
      </c>
      <c r="G15" s="125">
        <v>1554621.5049999999</v>
      </c>
      <c r="H15" s="125">
        <f t="shared" si="13"/>
        <v>-43572.808000000194</v>
      </c>
      <c r="I15" s="315">
        <f t="shared" si="14"/>
        <v>-2.7263773651033034</v>
      </c>
      <c r="J15" s="125">
        <f t="shared" si="15"/>
        <v>84445.104999999981</v>
      </c>
      <c r="K15" s="316">
        <f t="shared" si="16"/>
        <v>5.7438757009022936</v>
      </c>
      <c r="L15" s="263">
        <v>1612879.0439999998</v>
      </c>
      <c r="M15" s="125">
        <v>2309041.8280000002</v>
      </c>
      <c r="N15" s="125">
        <f t="shared" si="28"/>
        <v>696162.78400000045</v>
      </c>
      <c r="O15" s="315">
        <f t="shared" si="17"/>
        <v>43.162739734871309</v>
      </c>
      <c r="P15" s="125">
        <f t="shared" si="18"/>
        <v>754420.32300000032</v>
      </c>
      <c r="Q15" s="316">
        <f t="shared" si="19"/>
        <v>48.527588263356762</v>
      </c>
      <c r="R15" s="263">
        <v>2008389.1600000001</v>
      </c>
      <c r="S15" s="125">
        <v>2312881.9210000001</v>
      </c>
      <c r="T15" s="174">
        <f t="shared" si="20"/>
        <v>304492.76099999994</v>
      </c>
      <c r="U15" s="130">
        <f t="shared" si="12"/>
        <v>15.161043838734912</v>
      </c>
      <c r="V15" s="175">
        <f t="shared" si="21"/>
        <v>3840.0929999998771</v>
      </c>
      <c r="W15" s="317">
        <f t="shared" si="11"/>
        <v>0.16630677510617886</v>
      </c>
      <c r="X15" s="174">
        <v>1929016.0550000002</v>
      </c>
      <c r="Y15" s="125">
        <v>2135888.3990000002</v>
      </c>
      <c r="Z15" s="125">
        <f t="shared" si="22"/>
        <v>206872.34400000004</v>
      </c>
      <c r="AA15" s="315">
        <f t="shared" si="23"/>
        <v>10.724241691186947</v>
      </c>
      <c r="AB15" s="125">
        <f t="shared" si="24"/>
        <v>-176993.52199999988</v>
      </c>
      <c r="AC15" s="318">
        <f t="shared" si="25"/>
        <v>-7.6525100738162593</v>
      </c>
      <c r="AD15" s="59"/>
    </row>
    <row r="16" spans="1:30">
      <c r="A16" s="13" t="s">
        <v>10</v>
      </c>
      <c r="B16" s="125">
        <v>263226.95599999995</v>
      </c>
      <c r="C16" s="125">
        <v>262887.71399999998</v>
      </c>
      <c r="D16" s="125">
        <f t="shared" si="30"/>
        <v>-339.24199999996927</v>
      </c>
      <c r="E16" s="314">
        <f t="shared" si="27"/>
        <v>-0.12887813814933224</v>
      </c>
      <c r="F16" s="263">
        <v>262208.91499999998</v>
      </c>
      <c r="G16" s="125">
        <v>256589.959</v>
      </c>
      <c r="H16" s="125">
        <f t="shared" si="13"/>
        <v>-5618.9559999999765</v>
      </c>
      <c r="I16" s="315">
        <f t="shared" si="14"/>
        <v>-2.1429309525955631</v>
      </c>
      <c r="J16" s="125">
        <f t="shared" si="15"/>
        <v>-6297.7549999999756</v>
      </c>
      <c r="K16" s="316">
        <f t="shared" si="16"/>
        <v>-2.395606437507368</v>
      </c>
      <c r="L16" s="263">
        <v>200216.454</v>
      </c>
      <c r="M16" s="125">
        <v>196534.41500000001</v>
      </c>
      <c r="N16" s="125">
        <f t="shared" si="28"/>
        <v>-3682.0389999999898</v>
      </c>
      <c r="O16" s="315">
        <f t="shared" si="17"/>
        <v>-1.8390291738959661</v>
      </c>
      <c r="P16" s="125">
        <f t="shared" si="18"/>
        <v>-60055.543999999994</v>
      </c>
      <c r="Q16" s="316">
        <f t="shared" si="19"/>
        <v>-23.405258816070813</v>
      </c>
      <c r="R16" s="263">
        <v>230000.72599999997</v>
      </c>
      <c r="S16" s="125">
        <v>228944.68799999999</v>
      </c>
      <c r="T16" s="174">
        <f t="shared" si="20"/>
        <v>-1056.0379999999714</v>
      </c>
      <c r="U16" s="130">
        <f t="shared" si="12"/>
        <v>-0.45914550721894898</v>
      </c>
      <c r="V16" s="175">
        <f t="shared" si="21"/>
        <v>32410.272999999986</v>
      </c>
      <c r="W16" s="317">
        <f t="shared" si="11"/>
        <v>16.490889394613134</v>
      </c>
      <c r="X16" s="174">
        <v>381011.60099999997</v>
      </c>
      <c r="Y16" s="125">
        <v>371952.397</v>
      </c>
      <c r="Z16" s="125">
        <f t="shared" si="22"/>
        <v>-9059.2039999999688</v>
      </c>
      <c r="AA16" s="315">
        <f t="shared" si="23"/>
        <v>-2.3776714347340686</v>
      </c>
      <c r="AB16" s="125">
        <f t="shared" si="24"/>
        <v>143007.709</v>
      </c>
      <c r="AC16" s="318">
        <f t="shared" si="25"/>
        <v>62.463868565493868</v>
      </c>
      <c r="AD16" s="59"/>
    </row>
    <row r="17" spans="1:30">
      <c r="A17" s="13" t="s">
        <v>11</v>
      </c>
      <c r="B17" s="125">
        <v>2483432.4150007362</v>
      </c>
      <c r="C17" s="125">
        <v>2773810.06</v>
      </c>
      <c r="D17" s="125">
        <f t="shared" si="30"/>
        <v>290377.64499926381</v>
      </c>
      <c r="E17" s="314">
        <f t="shared" si="27"/>
        <v>11.69259301140184</v>
      </c>
      <c r="F17" s="263">
        <v>2913830.5787868076</v>
      </c>
      <c r="G17" s="125">
        <v>3627619.557</v>
      </c>
      <c r="H17" s="125">
        <f t="shared" si="13"/>
        <v>713788.97821319243</v>
      </c>
      <c r="I17" s="315">
        <f t="shared" si="14"/>
        <v>24.496584784637093</v>
      </c>
      <c r="J17" s="125">
        <f t="shared" si="15"/>
        <v>853809.49699999997</v>
      </c>
      <c r="K17" s="316">
        <f t="shared" si="16"/>
        <v>30.781108963171022</v>
      </c>
      <c r="L17" s="263">
        <v>3731367.3878421183</v>
      </c>
      <c r="M17" s="125">
        <v>3840822.392</v>
      </c>
      <c r="N17" s="125">
        <f t="shared" si="28"/>
        <v>109455.00415788172</v>
      </c>
      <c r="O17" s="315">
        <f t="shared" si="17"/>
        <v>2.9333751619987396</v>
      </c>
      <c r="P17" s="125">
        <f t="shared" si="18"/>
        <v>213202.83499999996</v>
      </c>
      <c r="Q17" s="316">
        <f>(M17/G17)*100-100</f>
        <v>5.8772104309724256</v>
      </c>
      <c r="R17" s="263">
        <v>4631576.8659999995</v>
      </c>
      <c r="S17" s="125">
        <v>4036138.4870000002</v>
      </c>
      <c r="T17" s="174">
        <f t="shared" si="20"/>
        <v>-595438.37899999926</v>
      </c>
      <c r="U17" s="130">
        <f t="shared" si="12"/>
        <v>-12.856061687566068</v>
      </c>
      <c r="V17" s="175">
        <f t="shared" si="21"/>
        <v>195316.0950000002</v>
      </c>
      <c r="W17" s="317">
        <f t="shared" si="11"/>
        <v>5.0852675564176479</v>
      </c>
      <c r="X17" s="174">
        <v>5407583.1445978032</v>
      </c>
      <c r="Y17" s="125">
        <v>4050225.3289999999</v>
      </c>
      <c r="Z17" s="125">
        <f t="shared" si="22"/>
        <v>-1357357.8155978033</v>
      </c>
      <c r="AA17" s="315">
        <f t="shared" si="23"/>
        <v>-25.101006850977583</v>
      </c>
      <c r="AB17" s="125">
        <f t="shared" si="24"/>
        <v>14086.841999999713</v>
      </c>
      <c r="AC17" s="318">
        <f t="shared" si="25"/>
        <v>0.34901780613752464</v>
      </c>
      <c r="AD17" s="59"/>
    </row>
    <row r="18" spans="1:30">
      <c r="A18" s="13" t="s">
        <v>12</v>
      </c>
      <c r="B18" s="125">
        <v>3514400.3830000004</v>
      </c>
      <c r="C18" s="125">
        <v>3620279.2039999999</v>
      </c>
      <c r="D18" s="125">
        <f t="shared" si="30"/>
        <v>105878.82099999953</v>
      </c>
      <c r="E18" s="314">
        <f t="shared" si="27"/>
        <v>3.0127136769094705</v>
      </c>
      <c r="F18" s="263">
        <v>3764403.1548586739</v>
      </c>
      <c r="G18" s="125">
        <v>4291338.648</v>
      </c>
      <c r="H18" s="125">
        <f t="shared" si="13"/>
        <v>526935.49314132612</v>
      </c>
      <c r="I18" s="315">
        <f t="shared" si="14"/>
        <v>13.997849631520381</v>
      </c>
      <c r="J18" s="125">
        <f t="shared" si="15"/>
        <v>671059.44400000013</v>
      </c>
      <c r="K18" s="316">
        <f t="shared" si="16"/>
        <v>18.536124044205081</v>
      </c>
      <c r="L18" s="263">
        <v>4087028.151802233</v>
      </c>
      <c r="M18" s="125">
        <v>4521750.1519999998</v>
      </c>
      <c r="N18" s="125">
        <f t="shared" si="28"/>
        <v>434722.00019776681</v>
      </c>
      <c r="O18" s="315">
        <f t="shared" si="17"/>
        <v>10.636628475535943</v>
      </c>
      <c r="P18" s="125">
        <f t="shared" si="18"/>
        <v>230411.50399999972</v>
      </c>
      <c r="Q18" s="316">
        <f t="shared" si="19"/>
        <v>5.3692221215723634</v>
      </c>
      <c r="R18" s="263">
        <v>4856642.7240000004</v>
      </c>
      <c r="S18" s="125">
        <v>4829498.5779999997</v>
      </c>
      <c r="T18" s="174">
        <f t="shared" si="20"/>
        <v>-27144.146000000648</v>
      </c>
      <c r="U18" s="130">
        <f t="shared" si="12"/>
        <v>-0.5589076146339238</v>
      </c>
      <c r="V18" s="175">
        <f t="shared" si="21"/>
        <v>307748.42599999998</v>
      </c>
      <c r="W18" s="317">
        <f t="shared" si="11"/>
        <v>6.8059582165078467</v>
      </c>
      <c r="X18" s="174">
        <v>5174055.3789999997</v>
      </c>
      <c r="Y18" s="125">
        <v>5207340.66</v>
      </c>
      <c r="Z18" s="125">
        <f t="shared" si="22"/>
        <v>33285.281000000425</v>
      </c>
      <c r="AA18" s="315">
        <f t="shared" si="23"/>
        <v>0.64331126286541007</v>
      </c>
      <c r="AB18" s="125">
        <f t="shared" si="24"/>
        <v>377842.0820000004</v>
      </c>
      <c r="AC18" s="318">
        <f t="shared" si="25"/>
        <v>7.8236296356147363</v>
      </c>
      <c r="AD18" s="59"/>
    </row>
    <row r="19" spans="1:30">
      <c r="A19" s="13" t="s">
        <v>13</v>
      </c>
      <c r="B19" s="125">
        <v>1163355.0460000001</v>
      </c>
      <c r="C19" s="125">
        <v>1251881.693</v>
      </c>
      <c r="D19" s="125">
        <f t="shared" si="30"/>
        <v>88526.646999999881</v>
      </c>
      <c r="E19" s="314">
        <f t="shared" si="27"/>
        <v>7.6095984028593762</v>
      </c>
      <c r="F19" s="263">
        <v>1019830.3450000001</v>
      </c>
      <c r="G19" s="125">
        <v>1268153.8529999999</v>
      </c>
      <c r="H19" s="125">
        <f t="shared" si="13"/>
        <v>248323.5079999998</v>
      </c>
      <c r="I19" s="315">
        <f t="shared" si="14"/>
        <v>24.349491973588982</v>
      </c>
      <c r="J19" s="125">
        <f t="shared" si="15"/>
        <v>16272.159999999916</v>
      </c>
      <c r="K19" s="316">
        <f t="shared" si="16"/>
        <v>1.2998161160904402</v>
      </c>
      <c r="L19" s="263">
        <v>1572616.1809999996</v>
      </c>
      <c r="M19" s="125">
        <v>1280272.453</v>
      </c>
      <c r="N19" s="125">
        <f t="shared" si="28"/>
        <v>-292343.72799999965</v>
      </c>
      <c r="O19" s="315">
        <f t="shared" si="17"/>
        <v>-18.589642630670582</v>
      </c>
      <c r="P19" s="125">
        <f t="shared" si="18"/>
        <v>12118.600000000093</v>
      </c>
      <c r="Q19" s="316">
        <f t="shared" si="19"/>
        <v>0.95560960299350484</v>
      </c>
      <c r="R19" s="263">
        <v>1421186.2169056605</v>
      </c>
      <c r="S19" s="125">
        <v>1457470.175</v>
      </c>
      <c r="T19" s="174">
        <f t="shared" si="20"/>
        <v>36283.958094339585</v>
      </c>
      <c r="U19" s="130">
        <f t="shared" si="12"/>
        <v>2.5530755690369915</v>
      </c>
      <c r="V19" s="175">
        <f t="shared" si="21"/>
        <v>177197.72200000007</v>
      </c>
      <c r="W19" s="317">
        <f t="shared" si="11"/>
        <v>13.840625999940983</v>
      </c>
      <c r="X19" s="174">
        <v>1581066.0410000002</v>
      </c>
      <c r="Y19" s="125">
        <v>1549939.666</v>
      </c>
      <c r="Z19" s="125">
        <f t="shared" si="22"/>
        <v>-31126.375000000233</v>
      </c>
      <c r="AA19" s="315">
        <f t="shared" si="23"/>
        <v>-1.9686954366759579</v>
      </c>
      <c r="AB19" s="125">
        <f t="shared" si="24"/>
        <v>92469.490999999922</v>
      </c>
      <c r="AC19" s="318">
        <f t="shared" si="25"/>
        <v>6.3445202918131542</v>
      </c>
      <c r="AD19" s="59"/>
    </row>
    <row r="20" spans="1:30">
      <c r="A20" s="13" t="s">
        <v>256</v>
      </c>
      <c r="B20" s="125">
        <v>363837.02099999983</v>
      </c>
      <c r="C20" s="125">
        <v>370972.71799999999</v>
      </c>
      <c r="D20" s="125">
        <f t="shared" si="30"/>
        <v>7135.6970000001602</v>
      </c>
      <c r="E20" s="314">
        <f t="shared" si="27"/>
        <v>1.961234450630613</v>
      </c>
      <c r="F20" s="263">
        <v>400471.10799999954</v>
      </c>
      <c r="G20" s="125">
        <v>456201.86900000001</v>
      </c>
      <c r="H20" s="125">
        <f t="shared" si="13"/>
        <v>55730.761000000464</v>
      </c>
      <c r="I20" s="315">
        <f t="shared" si="14"/>
        <v>13.916300049291081</v>
      </c>
      <c r="J20" s="125">
        <f t="shared" si="15"/>
        <v>85229.151000000013</v>
      </c>
      <c r="K20" s="316">
        <f t="shared" si="16"/>
        <v>22.974506443355239</v>
      </c>
      <c r="L20" s="263">
        <v>418114.29000000475</v>
      </c>
      <c r="M20" s="125">
        <v>449731.03899999999</v>
      </c>
      <c r="N20" s="125">
        <f t="shared" si="28"/>
        <v>31616.748999995238</v>
      </c>
      <c r="O20" s="315">
        <f t="shared" si="17"/>
        <v>7.5617480091376308</v>
      </c>
      <c r="P20" s="125">
        <f t="shared" si="18"/>
        <v>-6470.8300000000163</v>
      </c>
      <c r="Q20" s="316">
        <f t="shared" si="19"/>
        <v>-1.4184137417464342</v>
      </c>
      <c r="R20" s="263">
        <v>447595.1350000003</v>
      </c>
      <c r="S20" s="125">
        <v>491591.26400000002</v>
      </c>
      <c r="T20" s="174">
        <f t="shared" si="20"/>
        <v>43996.128999999724</v>
      </c>
      <c r="U20" s="130">
        <f t="shared" si="12"/>
        <v>9.8294475430345614</v>
      </c>
      <c r="V20" s="175">
        <f t="shared" si="21"/>
        <v>41860.225000000035</v>
      </c>
      <c r="W20" s="317">
        <f t="shared" si="11"/>
        <v>9.3078354327240618</v>
      </c>
      <c r="X20" s="174">
        <v>475278.04800000443</v>
      </c>
      <c r="Y20" s="125">
        <v>479618.05900000001</v>
      </c>
      <c r="Z20" s="125">
        <f t="shared" si="22"/>
        <v>4340.0109999955748</v>
      </c>
      <c r="AA20" s="315">
        <f t="shared" si="23"/>
        <v>0.91315199981538342</v>
      </c>
      <c r="AB20" s="125">
        <f t="shared" si="24"/>
        <v>-11973.205000000016</v>
      </c>
      <c r="AC20" s="318">
        <f t="shared" si="25"/>
        <v>-2.4356016627667429</v>
      </c>
      <c r="AD20" s="59"/>
    </row>
    <row r="21" spans="1:30">
      <c r="A21" s="94" t="s">
        <v>254</v>
      </c>
      <c r="Q21" s="55"/>
    </row>
    <row r="22" spans="1:30">
      <c r="A22" s="319" t="s">
        <v>247</v>
      </c>
      <c r="Q22" s="55"/>
    </row>
    <row r="23" spans="1:30">
      <c r="A23" s="319" t="s">
        <v>249</v>
      </c>
      <c r="Q23" s="55"/>
    </row>
    <row r="24" spans="1:30">
      <c r="A24" s="319" t="s">
        <v>257</v>
      </c>
      <c r="R24" s="320"/>
      <c r="X24" s="321"/>
      <c r="AC24" s="321"/>
    </row>
  </sheetData>
  <mergeCells count="5">
    <mergeCell ref="B3:E3"/>
    <mergeCell ref="F3:K3"/>
    <mergeCell ref="L3:Q3"/>
    <mergeCell ref="R3:W3"/>
    <mergeCell ref="X3:AC3"/>
  </mergeCells>
  <hyperlinks>
    <hyperlink ref="A21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BZ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19" customWidth="1"/>
    <col min="13" max="13" width="10" hidden="1" customWidth="1"/>
    <col min="14" max="14" width="24.109375" hidden="1" customWidth="1"/>
    <col min="15" max="39" width="10" hidden="1" customWidth="1"/>
    <col min="40" max="78" width="0" hidden="1" customWidth="1"/>
    <col min="79" max="79" width="8.88671875" hidden="1" customWidth="1"/>
    <col min="80" max="16384" width="8.88671875" hidden="1"/>
  </cols>
  <sheetData>
    <row r="1" spans="1:12" s="122" customFormat="1" ht="15" customHeight="1">
      <c r="A1" s="367" t="s">
        <v>217</v>
      </c>
      <c r="B1" s="367"/>
      <c r="C1" s="367"/>
      <c r="D1" s="367"/>
      <c r="E1" s="367"/>
      <c r="F1" s="367"/>
      <c r="G1" s="367"/>
      <c r="H1" s="367"/>
      <c r="I1" s="367"/>
    </row>
    <row r="2" spans="1:12" s="122" customFormat="1" ht="15" customHeight="1">
      <c r="A2" s="367"/>
      <c r="B2" s="367"/>
      <c r="C2" s="367"/>
      <c r="D2" s="367"/>
      <c r="E2" s="367"/>
      <c r="F2" s="367"/>
      <c r="G2" s="367"/>
      <c r="H2" s="367"/>
      <c r="I2" s="367"/>
    </row>
    <row r="3" spans="1:1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44"/>
    </row>
    <row r="9" spans="1:1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</row>
    <row r="19" spans="1:1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1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1" s="122" customFormat="1" ht="15" customHeight="1">
      <c r="A22" s="367" t="s">
        <v>218</v>
      </c>
      <c r="B22" s="367"/>
      <c r="C22" s="367"/>
      <c r="D22" s="367"/>
      <c r="E22" s="367"/>
      <c r="F22" s="367"/>
      <c r="G22" s="367"/>
      <c r="H22" s="367"/>
      <c r="I22" s="367"/>
    </row>
    <row r="23" spans="1:11" s="122" customFormat="1" ht="15" customHeight="1">
      <c r="A23" s="367"/>
      <c r="B23" s="367"/>
      <c r="C23" s="367"/>
      <c r="D23" s="367"/>
      <c r="E23" s="367"/>
      <c r="F23" s="367"/>
      <c r="G23" s="367"/>
      <c r="H23" s="367"/>
      <c r="I23" s="367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3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3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3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3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3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3" s="122" customFormat="1" ht="15" customHeight="1">
      <c r="A42" s="367" t="s">
        <v>216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</row>
    <row r="43" spans="1:13" s="122" customFormat="1" ht="1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</row>
    <row r="44" spans="1:13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>
      <c r="A45" s="228" t="s">
        <v>135</v>
      </c>
      <c r="B45" s="240" cm="1">
        <f t="array" aca="1" ref="B45" ca="1">INDIRECT(ADDRESS(ROW('1'!BA11),COLUMN('1'!BN11)+COUNT('1'!BO11:DD11)-1,1,1,"1"))</f>
        <v>-777461.0130000012</v>
      </c>
      <c r="C45" s="219"/>
      <c r="D45" s="219"/>
      <c r="E45" s="221"/>
      <c r="F45" s="227" t="s">
        <v>2</v>
      </c>
      <c r="G45" s="227" t="s">
        <v>7</v>
      </c>
      <c r="H45" s="227" t="s">
        <v>134</v>
      </c>
      <c r="I45" s="219"/>
      <c r="J45" s="219"/>
      <c r="K45" s="223"/>
      <c r="L45" s="223"/>
      <c r="M45" s="161" t="s">
        <v>53</v>
      </c>
    </row>
    <row r="46" spans="1:13">
      <c r="A46" s="220" t="s">
        <v>2</v>
      </c>
      <c r="B46" s="229" cm="1">
        <f t="array" aca="1" ref="B46" ca="1">INDIRECT(ADDRESS(ROW('1'!BA12),COLUMN('1'!BN12)+COUNT('1'!BO12:DD12)-1,1,1,"1"))</f>
        <v>5450595.2919999994</v>
      </c>
      <c r="C46" s="219"/>
      <c r="D46" s="219"/>
      <c r="E46" s="222" t="str">
        <f>A45</f>
        <v>Kopbudžeta bilance</v>
      </c>
      <c r="F46" s="241">
        <f ca="1">B46</f>
        <v>5450595.2919999994</v>
      </c>
      <c r="G46" s="241">
        <f ca="1">B47</f>
        <v>6228056.3050000006</v>
      </c>
      <c r="H46" s="224" cm="1">
        <f t="array" aca="1" ref="H46" ca="1">INDIRECT(ADDRESS(ROW('2'!C206)+COUNT('2'!C207:C218),COLUMN('2'!C207),1,1,"2"))</f>
        <v>-1.8530088521451198</v>
      </c>
      <c r="I46" s="219"/>
      <c r="J46" s="225"/>
      <c r="K46" s="223"/>
      <c r="L46" s="223" t="s">
        <v>10</v>
      </c>
      <c r="M46" s="161">
        <v>0</v>
      </c>
    </row>
    <row r="47" spans="1:13">
      <c r="A47" s="220" t="s">
        <v>7</v>
      </c>
      <c r="B47" s="229" cm="1">
        <f t="array" aca="1" ref="B47" ca="1">INDIRECT(ADDRESS(ROW('1'!BA18),COLUMN('1'!BN18)+COUNT('1'!BO18:DD18)-1,1,1,"1"))</f>
        <v>6228056.3050000006</v>
      </c>
      <c r="C47" s="219"/>
      <c r="D47" s="219"/>
      <c r="E47" s="222" t="str">
        <f>A48</f>
        <v>Pamatbudžeta bilance</v>
      </c>
      <c r="F47" s="241">
        <f ca="1">B49</f>
        <v>3017954.6485100002</v>
      </c>
      <c r="G47" s="241">
        <f ca="1">B50</f>
        <v>4003173.8518099999</v>
      </c>
      <c r="H47" s="224" cm="1">
        <f t="array" aca="1" ref="H47" ca="1">INDIRECT(ADDRESS(ROW('2'!C285)+COUNT('2'!C286:C297),COLUMN('2'!C207),1,1,"2"))</f>
        <v>-2.3481819338743604</v>
      </c>
      <c r="I47" s="226"/>
      <c r="J47" s="219"/>
      <c r="K47" s="223"/>
      <c r="L47" s="223" t="s">
        <v>14</v>
      </c>
      <c r="M47" s="161">
        <v>2</v>
      </c>
    </row>
    <row r="48" spans="1:13">
      <c r="A48" s="228" t="s">
        <v>136</v>
      </c>
      <c r="B48" s="240" cm="1">
        <f t="array" aca="1" ref="B48" ca="1">INDIRECT(ADDRESS(ROW('1'!BA29),COLUMN('1'!BN29)+COUNT('1'!BO29:DD29)-1,1,1,"1"))</f>
        <v>-985219.2032999997</v>
      </c>
      <c r="C48" s="219"/>
      <c r="D48" s="219"/>
      <c r="E48" s="222" t="str">
        <f>A51</f>
        <v>Speciālā budžeta bilance</v>
      </c>
      <c r="F48" s="241">
        <f ca="1">B52</f>
        <v>1659809.6772299998</v>
      </c>
      <c r="G48" s="241">
        <f ca="1">B53</f>
        <v>1594589.2469399997</v>
      </c>
      <c r="H48" s="224" cm="1">
        <f t="array" aca="1" ref="H48" ca="1">INDIRECT(ADDRESS(ROW('2'!C366)+COUNT('2'!C367:C378),COLUMN('2'!C207),1,1,"2"))</f>
        <v>0.15544706763075156</v>
      </c>
      <c r="I48" s="219"/>
      <c r="J48" s="219"/>
      <c r="K48" s="223"/>
      <c r="L48" s="223" t="s">
        <v>13</v>
      </c>
      <c r="M48" s="161">
        <v>14</v>
      </c>
    </row>
    <row r="49" spans="1:13">
      <c r="A49" s="220" t="s">
        <v>2</v>
      </c>
      <c r="B49" s="229" cm="1">
        <f t="array" aca="1" ref="B49" ca="1">INDIRECT(ADDRESS(ROW('1'!BA30),COLUMN('1'!BN30)+COUNT('1'!BO30:DD30)-1,1,1,"1"))</f>
        <v>3017954.6485100002</v>
      </c>
      <c r="C49" s="219"/>
      <c r="D49" s="219"/>
      <c r="E49" s="222" t="str">
        <f>A54</f>
        <v>Pašvaldību budžeta bilance</v>
      </c>
      <c r="F49" s="241">
        <f ca="1">B55</f>
        <v>1323313.04</v>
      </c>
      <c r="G49" s="241">
        <f ca="1">B56</f>
        <v>1204735.442</v>
      </c>
      <c r="H49" s="224" cm="1">
        <f t="array" aca="1" ref="H49" ca="1">INDIRECT(ADDRESS(ROW('2'!C521)+COUNT('2'!C522:C533),COLUMN('2'!C207),1,1,"2"))</f>
        <v>0.28261910897917286</v>
      </c>
      <c r="I49" s="219"/>
      <c r="J49" s="219"/>
      <c r="K49" s="223"/>
      <c r="L49" s="223" t="s">
        <v>9</v>
      </c>
      <c r="M49" s="161">
        <v>15</v>
      </c>
    </row>
    <row r="50" spans="1:13">
      <c r="A50" s="220" t="s">
        <v>7</v>
      </c>
      <c r="B50" s="229" cm="1">
        <f t="array" aca="1" ref="B50" ca="1">INDIRECT(ADDRESS(ROW('1'!BA31),COLUMN('1'!BN31)+COUNT('1'!BO31:DD31)-1,1,1,"1"))</f>
        <v>4003173.8518099999</v>
      </c>
      <c r="C50" s="219"/>
      <c r="D50" s="219"/>
      <c r="E50" s="219"/>
      <c r="F50" s="225"/>
      <c r="G50" s="225"/>
      <c r="H50" s="225"/>
      <c r="I50" s="219"/>
      <c r="J50" s="219"/>
      <c r="K50" s="223"/>
      <c r="L50" s="223" t="s">
        <v>12</v>
      </c>
      <c r="M50" s="161">
        <v>17</v>
      </c>
    </row>
    <row r="51" spans="1:13">
      <c r="A51" s="228" t="s">
        <v>137</v>
      </c>
      <c r="B51" s="240" cm="1">
        <f t="array" aca="1" ref="B51" ca="1">INDIRECT(ADDRESS(ROW('1'!BA32),COLUMN('1'!BN32)+COUNT('1'!BO32:DD32)-1,1,1,"1"))</f>
        <v>65220.430290000048</v>
      </c>
      <c r="C51" s="219"/>
      <c r="D51" s="219"/>
      <c r="E51" s="219"/>
      <c r="F51" s="219"/>
      <c r="G51" s="219"/>
      <c r="H51" s="219"/>
      <c r="I51" s="219"/>
      <c r="J51" s="219"/>
      <c r="K51" s="223"/>
      <c r="L51" s="223" t="s">
        <v>8</v>
      </c>
      <c r="M51" s="161">
        <v>19</v>
      </c>
    </row>
    <row r="52" spans="1:13">
      <c r="A52" s="220" t="s">
        <v>2</v>
      </c>
      <c r="B52" s="229" cm="1">
        <f t="array" aca="1" ref="B52" ca="1">INDIRECT(ADDRESS(ROW('1'!BA33),COLUMN('1'!BN33)+COUNT('1'!BO33:DD33)-1,1,1,"1"))</f>
        <v>1659809.6772299998</v>
      </c>
      <c r="C52" s="219"/>
      <c r="D52" s="219"/>
      <c r="E52" s="219"/>
      <c r="F52" s="219"/>
      <c r="G52" s="219"/>
      <c r="H52" s="219"/>
      <c r="I52" s="219"/>
      <c r="J52" s="219"/>
      <c r="K52" s="223"/>
      <c r="L52" s="223" t="s">
        <v>11</v>
      </c>
      <c r="M52" s="161">
        <v>33</v>
      </c>
    </row>
    <row r="53" spans="1:13">
      <c r="A53" s="220" t="s">
        <v>7</v>
      </c>
      <c r="B53" s="229" cm="1">
        <f t="array" aca="1" ref="B53" ca="1">INDIRECT(ADDRESS(ROW('1'!BA34),COLUMN('1'!BN34)+COUNT('1'!BO34:DD34)-1,1,1,"1"))</f>
        <v>1594589.2469399997</v>
      </c>
      <c r="C53" s="219"/>
      <c r="D53" s="219"/>
      <c r="E53" s="219"/>
      <c r="F53" s="219"/>
      <c r="G53" s="219"/>
      <c r="H53" s="219"/>
      <c r="I53" s="219"/>
      <c r="J53" s="219"/>
      <c r="K53" s="223"/>
      <c r="L53" s="223"/>
      <c r="M53" s="161"/>
    </row>
    <row r="54" spans="1:13">
      <c r="A54" s="228" t="s">
        <v>138</v>
      </c>
      <c r="B54" s="240" cm="1">
        <f t="array" aca="1" ref="B54" ca="1">INDIRECT(ADDRESS(ROW('1'!BA38),COLUMN('1'!BN38)+COUNT('1'!BO38:DD38)-1,1,1,"1"))</f>
        <v>118577.598</v>
      </c>
      <c r="C54" s="219"/>
      <c r="D54" s="219"/>
      <c r="E54" s="43"/>
      <c r="F54" s="219"/>
      <c r="G54" s="219"/>
      <c r="H54" s="219"/>
      <c r="I54" s="219"/>
      <c r="J54" s="219"/>
      <c r="K54" s="219"/>
    </row>
    <row r="55" spans="1:13">
      <c r="A55" s="220" t="s">
        <v>2</v>
      </c>
      <c r="B55" s="229" cm="1">
        <f t="array" aca="1" ref="B55" ca="1">INDIRECT(ADDRESS(ROW('1'!BA39),COLUMN('1'!BN39)+COUNT('1'!BO39:DD39)-1,1,1,"1"))</f>
        <v>1323313.04</v>
      </c>
      <c r="C55" s="219"/>
      <c r="D55" s="219"/>
      <c r="E55" s="219"/>
      <c r="F55" s="219"/>
      <c r="G55" s="219"/>
      <c r="H55" s="219"/>
      <c r="I55" s="219"/>
      <c r="J55" s="219"/>
      <c r="K55" s="219"/>
    </row>
    <row r="56" spans="1:13">
      <c r="A56" s="220" t="s">
        <v>7</v>
      </c>
      <c r="B56" s="229" cm="1">
        <f t="array" aca="1" ref="B56" ca="1">INDIRECT(ADDRESS(ROW('1'!BA40),COLUMN('1'!BN40)+COUNT('1'!BO40:DD40)-1,1,1,"1"))</f>
        <v>1204735.442</v>
      </c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</row>
    <row r="58" spans="1:13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</row>
    <row r="59" spans="1:1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3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</row>
    <row r="61" spans="1:1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3" spans="1:1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</row>
    <row r="64" spans="1:13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</row>
    <row r="67" spans="1:1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s="122" customFormat="1" ht="15" customHeight="1">
      <c r="A76" s="367" t="s">
        <v>133</v>
      </c>
      <c r="B76" s="367"/>
      <c r="C76" s="367"/>
      <c r="D76" s="367"/>
      <c r="E76" s="367"/>
      <c r="F76" s="367"/>
      <c r="G76" s="367"/>
      <c r="H76" s="367"/>
      <c r="I76" s="367"/>
    </row>
    <row r="77" spans="1:11" s="122" customFormat="1" ht="15" customHeight="1">
      <c r="A77" s="367"/>
      <c r="B77" s="367"/>
      <c r="C77" s="367"/>
      <c r="D77" s="367"/>
      <c r="E77" s="367"/>
      <c r="F77" s="367"/>
      <c r="G77" s="367"/>
      <c r="H77" s="367"/>
      <c r="I77" s="367"/>
    </row>
    <row r="78" spans="1:1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  <row r="81" spans="1:1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</row>
    <row r="82" spans="1:1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</row>
    <row r="84" spans="1:1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</row>
    <row r="85" spans="1:1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</row>
    <row r="86" spans="1:1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</row>
    <row r="87" spans="1:1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</row>
    <row r="88" spans="1:1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</row>
    <row r="89" spans="1:1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</row>
    <row r="90" spans="1:1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  <row r="94" spans="1:1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</row>
    <row r="95" spans="1:1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</row>
    <row r="96" spans="1:1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</row>
    <row r="97" spans="1:78" s="122" customFormat="1" ht="15" customHeight="1">
      <c r="A97" s="354"/>
      <c r="B97" s="354"/>
      <c r="C97" s="354"/>
      <c r="D97" s="354"/>
      <c r="E97" s="354"/>
      <c r="F97" s="354"/>
      <c r="G97" s="354"/>
      <c r="H97" s="354"/>
      <c r="I97" s="354"/>
    </row>
    <row r="98" spans="1:78" s="122" customFormat="1" ht="15" customHeight="1">
      <c r="A98" s="354"/>
      <c r="B98" s="354"/>
      <c r="C98" s="354"/>
      <c r="D98" s="354"/>
      <c r="E98" s="354"/>
      <c r="F98" s="354"/>
      <c r="G98" s="354"/>
      <c r="H98" s="354"/>
      <c r="I98" s="354"/>
    </row>
    <row r="99" spans="1:78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</row>
    <row r="100" spans="1:78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1:78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</row>
    <row r="102" spans="1:78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</row>
    <row r="103" spans="1:78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</row>
    <row r="104" spans="1:78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</row>
    <row r="105" spans="1:78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O105" s="218" t="s">
        <v>154</v>
      </c>
      <c r="P105" s="218" t="s">
        <v>155</v>
      </c>
      <c r="Q105" s="218" t="s">
        <v>156</v>
      </c>
      <c r="R105" s="218" t="s">
        <v>157</v>
      </c>
      <c r="S105" s="218" t="s">
        <v>158</v>
      </c>
      <c r="T105" s="218" t="s">
        <v>159</v>
      </c>
      <c r="U105" s="218" t="s">
        <v>160</v>
      </c>
      <c r="V105" s="218" t="s">
        <v>161</v>
      </c>
      <c r="W105" s="218" t="s">
        <v>162</v>
      </c>
      <c r="X105" s="218" t="s">
        <v>163</v>
      </c>
      <c r="Y105" s="218" t="s">
        <v>164</v>
      </c>
      <c r="Z105" s="218" t="s">
        <v>165</v>
      </c>
      <c r="AA105" s="215" t="s">
        <v>166</v>
      </c>
      <c r="AB105" s="215" t="s">
        <v>167</v>
      </c>
      <c r="AC105" s="215" t="s">
        <v>168</v>
      </c>
      <c r="AD105" s="215" t="s">
        <v>169</v>
      </c>
      <c r="AE105" s="215" t="s">
        <v>170</v>
      </c>
      <c r="AF105" s="215" t="s">
        <v>171</v>
      </c>
      <c r="AG105" s="215" t="s">
        <v>172</v>
      </c>
      <c r="AH105" s="215" t="s">
        <v>173</v>
      </c>
      <c r="AI105" s="215" t="s">
        <v>174</v>
      </c>
      <c r="AJ105" s="215" t="s">
        <v>175</v>
      </c>
      <c r="AK105" s="215" t="s">
        <v>176</v>
      </c>
      <c r="AL105" s="215" t="s">
        <v>177</v>
      </c>
      <c r="AM105" s="218" t="s">
        <v>178</v>
      </c>
      <c r="AN105" s="218" t="s">
        <v>179</v>
      </c>
      <c r="AO105" s="218" t="s">
        <v>180</v>
      </c>
      <c r="AP105" s="218" t="s">
        <v>181</v>
      </c>
      <c r="AQ105" s="218" t="s">
        <v>182</v>
      </c>
      <c r="AR105" s="218" t="s">
        <v>183</v>
      </c>
      <c r="AS105" s="218" t="s">
        <v>184</v>
      </c>
      <c r="AT105" s="218" t="s">
        <v>185</v>
      </c>
      <c r="AU105" s="218" t="s">
        <v>186</v>
      </c>
      <c r="AV105" s="218" t="s">
        <v>187</v>
      </c>
      <c r="AW105" s="218" t="s">
        <v>188</v>
      </c>
      <c r="AX105" s="218" t="s">
        <v>189</v>
      </c>
      <c r="AY105" s="215" t="s">
        <v>197</v>
      </c>
      <c r="AZ105" s="215" t="s">
        <v>198</v>
      </c>
      <c r="BA105" s="215" t="s">
        <v>199</v>
      </c>
      <c r="BB105" s="215" t="s">
        <v>200</v>
      </c>
      <c r="BC105" s="215" t="s">
        <v>201</v>
      </c>
      <c r="BD105" s="215" t="s">
        <v>190</v>
      </c>
      <c r="BE105" s="215" t="s">
        <v>191</v>
      </c>
      <c r="BF105" s="215" t="s">
        <v>192</v>
      </c>
      <c r="BG105" s="215" t="s">
        <v>193</v>
      </c>
      <c r="BH105" s="215" t="s">
        <v>145</v>
      </c>
      <c r="BI105" s="215" t="s">
        <v>146</v>
      </c>
      <c r="BJ105" s="215" t="s">
        <v>147</v>
      </c>
      <c r="BK105" s="218" t="s">
        <v>148</v>
      </c>
      <c r="BL105" s="218" t="s">
        <v>149</v>
      </c>
      <c r="BM105" s="218" t="s">
        <v>150</v>
      </c>
      <c r="BN105" s="218" t="s">
        <v>151</v>
      </c>
      <c r="BO105" s="218" t="s">
        <v>152</v>
      </c>
      <c r="BP105" s="218" t="s">
        <v>153</v>
      </c>
      <c r="BQ105" s="218" t="s">
        <v>225</v>
      </c>
      <c r="BR105" s="218" t="s">
        <v>227</v>
      </c>
      <c r="BS105" s="218" t="s">
        <v>229</v>
      </c>
      <c r="BT105" s="218" t="s">
        <v>231</v>
      </c>
      <c r="BU105" s="218" t="s">
        <v>232</v>
      </c>
      <c r="BV105" s="218" t="s">
        <v>233</v>
      </c>
      <c r="BW105" s="215" t="s">
        <v>246</v>
      </c>
      <c r="BX105" s="215" t="s">
        <v>253</v>
      </c>
      <c r="BY105" s="215" t="s">
        <v>259</v>
      </c>
      <c r="BZ105" s="215" t="s">
        <v>260</v>
      </c>
    </row>
    <row r="106" spans="1:78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N106" t="s">
        <v>195</v>
      </c>
      <c r="O106" s="216">
        <f>'3'!BV15</f>
        <v>44058.985999999997</v>
      </c>
      <c r="P106" s="216">
        <f>'3'!BW15</f>
        <v>48912.061000000009</v>
      </c>
      <c r="Q106" s="216">
        <f>'3'!BX15</f>
        <v>9452.4579999999987</v>
      </c>
      <c r="R106" s="216">
        <f>'3'!BY15</f>
        <v>41494.661999999982</v>
      </c>
      <c r="S106" s="216">
        <f>'3'!BZ15</f>
        <v>18154.820000000007</v>
      </c>
      <c r="T106" s="216">
        <f>'3'!CA15</f>
        <v>21192.013000000006</v>
      </c>
      <c r="U106" s="216">
        <f>'3'!CB15</f>
        <v>4890.7669999999925</v>
      </c>
      <c r="V106" s="216">
        <f>'3'!CC15</f>
        <v>3387.804999999993</v>
      </c>
      <c r="W106" s="216">
        <f>'3'!CD15</f>
        <v>12491.387000000017</v>
      </c>
      <c r="X106" s="216">
        <f>'3'!CE15</f>
        <v>25239.513000000006</v>
      </c>
      <c r="Y106" s="216">
        <f>'3'!CF15</f>
        <v>13488.517999999982</v>
      </c>
      <c r="Z106" s="216">
        <f>'3'!CG15</f>
        <v>20125.429000000004</v>
      </c>
      <c r="AA106" s="216">
        <f>'3'!CH15</f>
        <v>43448.696000000004</v>
      </c>
      <c r="AB106" s="216">
        <f>'3'!CI15</f>
        <v>51049.976000000002</v>
      </c>
      <c r="AC106" s="216">
        <f>'3'!CJ15</f>
        <v>6380.6459999999934</v>
      </c>
      <c r="AD106" s="216">
        <f>'3'!CK15</f>
        <v>42232.171999999991</v>
      </c>
      <c r="AE106" s="216">
        <f>'3'!CL15</f>
        <v>22529.752999999997</v>
      </c>
      <c r="AF106" s="216">
        <f>'3'!CM15</f>
        <v>19012.722999999998</v>
      </c>
      <c r="AG106" s="216">
        <f>'3'!CN15</f>
        <v>3938.9310000000114</v>
      </c>
      <c r="AH106" s="216">
        <f>'3'!CO15</f>
        <v>3243.1560000000172</v>
      </c>
      <c r="AI106" s="216">
        <f>'3'!CP15</f>
        <v>12452.231999999989</v>
      </c>
      <c r="AJ106" s="216">
        <f>'3'!CQ15</f>
        <v>26665.926000000007</v>
      </c>
      <c r="AK106" s="216">
        <f>'3'!CR15</f>
        <v>17492.218999999983</v>
      </c>
      <c r="AL106" s="216">
        <f>'3'!CS15</f>
        <v>8142.7250000000058</v>
      </c>
      <c r="AM106" s="216">
        <f>'3'!CT15</f>
        <v>3863.1010000000001</v>
      </c>
      <c r="AN106" s="216">
        <f>'3'!CU15</f>
        <v>45889.845000000001</v>
      </c>
      <c r="AO106" s="216">
        <f>'3'!CV15</f>
        <v>7585.2739999999976</v>
      </c>
      <c r="AP106" s="216">
        <f>'3'!CW15</f>
        <v>7220.0970000000016</v>
      </c>
      <c r="AQ106" s="216">
        <f>'3'!CX15</f>
        <v>57937.859999999993</v>
      </c>
      <c r="AR106" s="216">
        <f>'3'!CY15</f>
        <v>4296.8249999999971</v>
      </c>
      <c r="AS106" s="216">
        <f>'3'!CZ15</f>
        <v>4196.8970000000118</v>
      </c>
      <c r="AT106" s="216">
        <f>'3'!DA15</f>
        <v>5290.3090000000084</v>
      </c>
      <c r="AU106" s="216">
        <f>'3'!DB15</f>
        <v>18180.781999999977</v>
      </c>
      <c r="AV106" s="216">
        <f>'3'!DC15</f>
        <v>21406.366000000009</v>
      </c>
      <c r="AW106" s="216">
        <f>'3'!DD15</f>
        <v>13715.277000000002</v>
      </c>
      <c r="AX106" s="216">
        <f>'3'!DE15</f>
        <v>6949.2149999999965</v>
      </c>
      <c r="AY106" s="216">
        <f>'3'!DF15</f>
        <v>4676.8140000000003</v>
      </c>
      <c r="AZ106" s="216">
        <f>'3'!DG15</f>
        <v>48215.86</v>
      </c>
      <c r="BA106" s="216">
        <f>'3'!DH15</f>
        <v>19736.156000000003</v>
      </c>
      <c r="BB106" s="216">
        <f>'3'!DI15</f>
        <v>12163.562000000005</v>
      </c>
      <c r="BC106" s="216">
        <f>'3'!DJ15</f>
        <v>68411.877999999982</v>
      </c>
      <c r="BD106" s="216">
        <f>'3'!DK15</f>
        <v>3473.176999999996</v>
      </c>
      <c r="BE106" s="216">
        <f>'3'!DL15</f>
        <v>3128.9040000000095</v>
      </c>
      <c r="BF106" s="216">
        <f>'3'!DM15</f>
        <v>8276.6000000000058</v>
      </c>
      <c r="BG106" s="216">
        <f>'3'!DN15</f>
        <v>18878.344000000012</v>
      </c>
      <c r="BH106" s="216">
        <f>'3'!DO15</f>
        <v>16582.597999999998</v>
      </c>
      <c r="BI106" s="216">
        <f>'3'!DP15</f>
        <v>22174.156999999977</v>
      </c>
      <c r="BJ106" s="216">
        <f>'3'!DQ15</f>
        <v>3023.6110000000044</v>
      </c>
      <c r="BK106" s="216">
        <f>'3'!DR15</f>
        <v>43141.928</v>
      </c>
      <c r="BL106" s="216">
        <f>'3'!DS15</f>
        <v>51354.168000000005</v>
      </c>
      <c r="BM106" s="216">
        <f>'3'!DT15</f>
        <v>49543.020999999993</v>
      </c>
      <c r="BN106" s="216">
        <f>'3'!DU15</f>
        <v>49204.991999999998</v>
      </c>
      <c r="BO106" s="216">
        <f>'3'!DV15</f>
        <v>52893.782999999996</v>
      </c>
      <c r="BP106" s="216">
        <f>'3'!DW15</f>
        <v>4673.5219999999972</v>
      </c>
      <c r="BQ106" s="216">
        <v>41807.401000000013</v>
      </c>
      <c r="BR106" s="216">
        <v>9476.5470000000205</v>
      </c>
      <c r="BS106" s="216">
        <v>19774.375999999989</v>
      </c>
      <c r="BT106" s="216">
        <v>18209.011999999988</v>
      </c>
      <c r="BU106" s="216">
        <v>20051.940000000002</v>
      </c>
      <c r="BV106" s="216">
        <v>11821.706999999995</v>
      </c>
      <c r="BW106" s="216">
        <v>98576.904999999999</v>
      </c>
      <c r="BX106" s="216">
        <v>48869.095000000001</v>
      </c>
      <c r="BY106" s="216">
        <v>51628.005999999994</v>
      </c>
      <c r="BZ106" s="216">
        <v>4045.1940000000177</v>
      </c>
    </row>
    <row r="107" spans="1:78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T107" t="s">
        <v>194</v>
      </c>
      <c r="AA107" s="215" t="s">
        <v>166</v>
      </c>
      <c r="AB107" s="215" t="s">
        <v>167</v>
      </c>
      <c r="AC107" s="215" t="s">
        <v>168</v>
      </c>
      <c r="AD107" s="215" t="s">
        <v>169</v>
      </c>
      <c r="AE107" s="215" t="s">
        <v>170</v>
      </c>
      <c r="AF107" s="215" t="s">
        <v>171</v>
      </c>
      <c r="AG107" s="215" t="s">
        <v>172</v>
      </c>
      <c r="AH107" s="215" t="s">
        <v>173</v>
      </c>
      <c r="AI107" s="215" t="s">
        <v>174</v>
      </c>
      <c r="AJ107" s="215" t="s">
        <v>175</v>
      </c>
      <c r="AK107" s="215" t="s">
        <v>176</v>
      </c>
      <c r="AL107" s="215" t="s">
        <v>177</v>
      </c>
      <c r="AM107" s="218" t="s">
        <v>178</v>
      </c>
      <c r="AN107" s="218" t="s">
        <v>179</v>
      </c>
      <c r="AO107" s="218" t="s">
        <v>180</v>
      </c>
      <c r="AP107" s="218" t="s">
        <v>181</v>
      </c>
      <c r="AQ107" s="218" t="s">
        <v>182</v>
      </c>
      <c r="AR107" s="218" t="s">
        <v>183</v>
      </c>
      <c r="AS107" s="218" t="s">
        <v>184</v>
      </c>
      <c r="AT107" s="218" t="s">
        <v>185</v>
      </c>
      <c r="AU107" s="218" t="s">
        <v>186</v>
      </c>
      <c r="AV107" s="218" t="s">
        <v>187</v>
      </c>
      <c r="AW107" s="218" t="s">
        <v>188</v>
      </c>
      <c r="AX107" s="218" t="s">
        <v>189</v>
      </c>
      <c r="AY107" s="215" t="s">
        <v>197</v>
      </c>
      <c r="AZ107" s="215" t="s">
        <v>198</v>
      </c>
      <c r="BA107" s="215" t="s">
        <v>199</v>
      </c>
      <c r="BB107" s="215" t="s">
        <v>200</v>
      </c>
      <c r="BC107" s="215" t="s">
        <v>201</v>
      </c>
      <c r="BD107" s="215" t="s">
        <v>190</v>
      </c>
      <c r="BE107" s="215" t="s">
        <v>191</v>
      </c>
      <c r="BF107" s="215" t="s">
        <v>192</v>
      </c>
      <c r="BG107" s="215" t="s">
        <v>193</v>
      </c>
      <c r="BH107" s="215" t="s">
        <v>145</v>
      </c>
      <c r="BI107" s="215" t="s">
        <v>146</v>
      </c>
      <c r="BJ107" s="215" t="s">
        <v>147</v>
      </c>
      <c r="BK107" s="218" t="s">
        <v>148</v>
      </c>
      <c r="BL107" s="218" t="s">
        <v>149</v>
      </c>
      <c r="BM107" s="218" t="s">
        <v>150</v>
      </c>
      <c r="BN107" s="218" t="s">
        <v>151</v>
      </c>
      <c r="BO107" s="218" t="s">
        <v>152</v>
      </c>
      <c r="BP107" s="218" t="s">
        <v>153</v>
      </c>
      <c r="BQ107" s="218" t="s">
        <v>225</v>
      </c>
      <c r="BR107" s="218" t="s">
        <v>227</v>
      </c>
      <c r="BS107" s="218" t="s">
        <v>229</v>
      </c>
      <c r="BT107" s="218" t="s">
        <v>231</v>
      </c>
      <c r="BU107" s="218" t="s">
        <v>232</v>
      </c>
      <c r="BV107" s="218" t="s">
        <v>233</v>
      </c>
      <c r="BW107" s="215" t="s">
        <v>246</v>
      </c>
      <c r="BX107" s="215" t="s">
        <v>253</v>
      </c>
      <c r="BY107" s="215" t="s">
        <v>259</v>
      </c>
      <c r="BZ107" s="215" t="s">
        <v>260</v>
      </c>
    </row>
    <row r="108" spans="1:78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AA108" s="217">
        <f t="shared" ref="AA108:BV108" si="0">(AA106/O106)*100-100</f>
        <v>-1.3851657866115943</v>
      </c>
      <c r="AB108" s="217">
        <f t="shared" si="0"/>
        <v>4.3709362400410612</v>
      </c>
      <c r="AC108" s="217">
        <f t="shared" si="0"/>
        <v>-32.497494302540204</v>
      </c>
      <c r="AD108" s="217">
        <f t="shared" si="0"/>
        <v>1.7773611458746359</v>
      </c>
      <c r="AE108" s="217">
        <f t="shared" si="0"/>
        <v>24.097914493230931</v>
      </c>
      <c r="AF108" s="217">
        <f t="shared" si="0"/>
        <v>-10.283544088048686</v>
      </c>
      <c r="AG108" s="217">
        <f t="shared" si="0"/>
        <v>-19.461896262896644</v>
      </c>
      <c r="AH108" s="217">
        <f t="shared" si="0"/>
        <v>-4.2696967505501675</v>
      </c>
      <c r="AI108" s="217">
        <f t="shared" si="0"/>
        <v>-0.31345598371123629</v>
      </c>
      <c r="AJ108" s="217">
        <f t="shared" si="0"/>
        <v>5.6515076182333672</v>
      </c>
      <c r="AK108" s="217">
        <f t="shared" si="0"/>
        <v>29.682289781575747</v>
      </c>
      <c r="AL108" s="217">
        <f t="shared" si="0"/>
        <v>-59.540117132409925</v>
      </c>
      <c r="AM108" s="217">
        <f t="shared" si="0"/>
        <v>-91.108821769932973</v>
      </c>
      <c r="AN108" s="217">
        <f t="shared" si="0"/>
        <v>-10.107998875454911</v>
      </c>
      <c r="AO108" s="217">
        <f t="shared" si="0"/>
        <v>18.879405000684969</v>
      </c>
      <c r="AP108" s="217">
        <f t="shared" si="0"/>
        <v>-82.903799027906956</v>
      </c>
      <c r="AQ108" s="217">
        <f t="shared" si="0"/>
        <v>157.16154100757342</v>
      </c>
      <c r="AR108" s="217">
        <f t="shared" si="0"/>
        <v>-77.400265075128914</v>
      </c>
      <c r="AS108" s="217">
        <f t="shared" si="0"/>
        <v>6.5491373166983493</v>
      </c>
      <c r="AT108" s="217">
        <f t="shared" si="0"/>
        <v>63.12224882182602</v>
      </c>
      <c r="AU108" s="217">
        <f t="shared" si="0"/>
        <v>46.004202298832809</v>
      </c>
      <c r="AV108" s="217">
        <f t="shared" si="0"/>
        <v>-19.723897831262249</v>
      </c>
      <c r="AW108" s="217">
        <f t="shared" si="0"/>
        <v>-21.592126190507827</v>
      </c>
      <c r="AX108" s="217">
        <f t="shared" si="0"/>
        <v>-14.657378211839514</v>
      </c>
      <c r="AY108" s="217">
        <f t="shared" si="0"/>
        <v>21.063725747786563</v>
      </c>
      <c r="AZ108" s="217">
        <f t="shared" si="0"/>
        <v>5.0686922128414267</v>
      </c>
      <c r="BA108" s="217">
        <f t="shared" si="0"/>
        <v>160.19041632510584</v>
      </c>
      <c r="BB108" s="217">
        <f t="shared" si="0"/>
        <v>68.468124458715749</v>
      </c>
      <c r="BC108" s="217">
        <f t="shared" si="0"/>
        <v>18.078020140888867</v>
      </c>
      <c r="BD108" s="217">
        <f t="shared" si="0"/>
        <v>-19.168758327369659</v>
      </c>
      <c r="BE108" s="217">
        <f t="shared" si="0"/>
        <v>-25.447205399608308</v>
      </c>
      <c r="BF108" s="217">
        <f t="shared" si="0"/>
        <v>56.448328443574695</v>
      </c>
      <c r="BG108" s="217">
        <f t="shared" si="0"/>
        <v>3.8368096597827019</v>
      </c>
      <c r="BH108" s="217">
        <f t="shared" si="0"/>
        <v>-22.534268544226549</v>
      </c>
      <c r="BI108" s="217">
        <f t="shared" si="0"/>
        <v>61.674875396245909</v>
      </c>
      <c r="BJ108" s="217">
        <f t="shared" si="0"/>
        <v>-56.489891304269534</v>
      </c>
      <c r="BK108" s="217">
        <f t="shared" si="0"/>
        <v>822.46405352019542</v>
      </c>
      <c r="BL108" s="217">
        <f t="shared" si="0"/>
        <v>6.5088707325763835</v>
      </c>
      <c r="BM108" s="217">
        <f t="shared" si="0"/>
        <v>151.02669942414312</v>
      </c>
      <c r="BN108" s="217">
        <f t="shared" si="0"/>
        <v>304.52781841371774</v>
      </c>
      <c r="BO108" s="217">
        <f t="shared" si="0"/>
        <v>-22.683334318055103</v>
      </c>
      <c r="BP108" s="217">
        <f t="shared" si="0"/>
        <v>34.560432710455075</v>
      </c>
      <c r="BQ108" s="217">
        <f t="shared" si="0"/>
        <v>1236.1675845599573</v>
      </c>
      <c r="BR108" s="217">
        <f t="shared" si="0"/>
        <v>14.498066839040362</v>
      </c>
      <c r="BS108" s="217">
        <f t="shared" si="0"/>
        <v>4.7463485144670443</v>
      </c>
      <c r="BT108" s="217">
        <f t="shared" si="0"/>
        <v>9.8079565095890757</v>
      </c>
      <c r="BU108" s="217">
        <f t="shared" si="0"/>
        <v>-9.5706772528036907</v>
      </c>
      <c r="BV108" s="217">
        <f t="shared" si="0"/>
        <v>290.97975897031654</v>
      </c>
      <c r="BW108" s="217">
        <f>(BW106/BK106)*100-100</f>
        <v>128.49443585367811</v>
      </c>
      <c r="BX108" s="217">
        <f>(BX106/BL106)*100-100</f>
        <v>-4.8390872577275559</v>
      </c>
      <c r="BY108" s="217">
        <f>(BY106/BM106)*100-100</f>
        <v>4.2084333129382685</v>
      </c>
      <c r="BZ108" s="217">
        <f>(BZ106/BN106)*100-100</f>
        <v>-91.778895116983222</v>
      </c>
    </row>
    <row r="109" spans="1:78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BQ109" s="161"/>
      <c r="BR109" s="161"/>
      <c r="BS109" s="161"/>
      <c r="BU109" s="216"/>
    </row>
    <row r="110" spans="1:78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BQ110" s="161"/>
      <c r="BR110" s="161"/>
      <c r="BS110" s="161"/>
    </row>
    <row r="111" spans="1:78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BQ111" s="161"/>
      <c r="BR111" s="161"/>
      <c r="BS111" s="161"/>
    </row>
    <row r="112" spans="1:78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BQ112" s="161"/>
      <c r="BR112" s="161"/>
      <c r="BS112" s="161"/>
    </row>
    <row r="113" spans="1:7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BQ113" s="161"/>
      <c r="BR113" s="161"/>
      <c r="BS113" s="161"/>
    </row>
    <row r="114" spans="1:7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7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</row>
    <row r="116" spans="1:7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</row>
    <row r="117" spans="1:7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</row>
    <row r="118" spans="1:7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1:7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</row>
    <row r="120" spans="1:7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7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7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7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  <row r="124" spans="1:7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</row>
    <row r="125" spans="1:7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</row>
    <row r="126" spans="1:7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</row>
    <row r="127" spans="1:7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</row>
    <row r="128" spans="1:7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</row>
    <row r="129" spans="1:78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</row>
    <row r="130" spans="1:78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O130" s="218" t="s">
        <v>154</v>
      </c>
      <c r="P130" s="218" t="s">
        <v>155</v>
      </c>
      <c r="Q130" s="218" t="s">
        <v>156</v>
      </c>
      <c r="R130" s="218" t="s">
        <v>157</v>
      </c>
      <c r="S130" s="218" t="s">
        <v>158</v>
      </c>
      <c r="T130" s="218" t="s">
        <v>159</v>
      </c>
      <c r="U130" s="218" t="s">
        <v>160</v>
      </c>
      <c r="V130" s="218" t="s">
        <v>161</v>
      </c>
      <c r="W130" s="218" t="s">
        <v>162</v>
      </c>
      <c r="X130" s="218" t="s">
        <v>163</v>
      </c>
      <c r="Y130" s="218" t="s">
        <v>164</v>
      </c>
      <c r="Z130" s="218" t="s">
        <v>165</v>
      </c>
      <c r="AA130" s="215" t="s">
        <v>166</v>
      </c>
      <c r="AB130" s="215" t="s">
        <v>167</v>
      </c>
      <c r="AC130" s="215" t="s">
        <v>168</v>
      </c>
      <c r="AD130" s="215" t="s">
        <v>169</v>
      </c>
      <c r="AE130" s="215" t="s">
        <v>170</v>
      </c>
      <c r="AF130" s="215" t="s">
        <v>171</v>
      </c>
      <c r="AG130" s="215" t="s">
        <v>172</v>
      </c>
      <c r="AH130" s="215" t="s">
        <v>173</v>
      </c>
      <c r="AI130" s="215" t="s">
        <v>174</v>
      </c>
      <c r="AJ130" s="215" t="s">
        <v>175</v>
      </c>
      <c r="AK130" s="215" t="s">
        <v>176</v>
      </c>
      <c r="AL130" s="215" t="s">
        <v>177</v>
      </c>
      <c r="AM130" s="218" t="s">
        <v>178</v>
      </c>
      <c r="AN130" s="218" t="s">
        <v>179</v>
      </c>
      <c r="AO130" s="218" t="s">
        <v>180</v>
      </c>
      <c r="AP130" s="218" t="s">
        <v>181</v>
      </c>
      <c r="AQ130" s="218" t="s">
        <v>182</v>
      </c>
      <c r="AR130" s="218" t="s">
        <v>183</v>
      </c>
      <c r="AS130" s="218" t="s">
        <v>184</v>
      </c>
      <c r="AT130" s="218" t="s">
        <v>185</v>
      </c>
      <c r="AU130" s="218" t="s">
        <v>186</v>
      </c>
      <c r="AV130" s="218" t="s">
        <v>187</v>
      </c>
      <c r="AW130" s="218" t="s">
        <v>188</v>
      </c>
      <c r="AX130" s="218" t="s">
        <v>189</v>
      </c>
      <c r="AY130" s="215" t="s">
        <v>197</v>
      </c>
      <c r="AZ130" s="215" t="s">
        <v>198</v>
      </c>
      <c r="BA130" s="215" t="s">
        <v>199</v>
      </c>
      <c r="BB130" s="215" t="s">
        <v>200</v>
      </c>
      <c r="BC130" s="215" t="s">
        <v>201</v>
      </c>
      <c r="BD130" s="215" t="s">
        <v>190</v>
      </c>
      <c r="BE130" s="215" t="s">
        <v>191</v>
      </c>
      <c r="BF130" s="215" t="s">
        <v>192</v>
      </c>
      <c r="BG130" s="215" t="s">
        <v>193</v>
      </c>
      <c r="BH130" s="215" t="s">
        <v>145</v>
      </c>
      <c r="BI130" s="215" t="s">
        <v>146</v>
      </c>
      <c r="BJ130" s="215" t="s">
        <v>147</v>
      </c>
      <c r="BK130" s="218" t="s">
        <v>148</v>
      </c>
      <c r="BL130" s="218" t="s">
        <v>149</v>
      </c>
      <c r="BM130" s="218" t="s">
        <v>150</v>
      </c>
      <c r="BN130" s="218" t="s">
        <v>151</v>
      </c>
      <c r="BO130" s="218" t="s">
        <v>152</v>
      </c>
      <c r="BP130" s="218" t="s">
        <v>153</v>
      </c>
      <c r="BQ130" s="218" t="s">
        <v>225</v>
      </c>
      <c r="BR130" s="218" t="s">
        <v>227</v>
      </c>
      <c r="BS130" s="218" t="s">
        <v>229</v>
      </c>
      <c r="BT130" s="218" t="s">
        <v>231</v>
      </c>
      <c r="BU130" s="218" t="s">
        <v>232</v>
      </c>
      <c r="BV130" s="218" t="s">
        <v>233</v>
      </c>
      <c r="BW130" s="215" t="s">
        <v>246</v>
      </c>
      <c r="BX130" s="215" t="s">
        <v>253</v>
      </c>
      <c r="BY130" s="215" t="s">
        <v>259</v>
      </c>
      <c r="BZ130" s="215" t="s">
        <v>260</v>
      </c>
    </row>
    <row r="131" spans="1:78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N131" t="s">
        <v>196</v>
      </c>
      <c r="O131" s="216">
        <f>'3'!BV13</f>
        <v>140793.06899999999</v>
      </c>
      <c r="P131" s="216">
        <f>'3'!BW13</f>
        <v>210280.03</v>
      </c>
      <c r="Q131" s="216">
        <f>'3'!BX13</f>
        <v>218342.64900000003</v>
      </c>
      <c r="R131" s="216">
        <f>'3'!BY13</f>
        <v>233035.91399999999</v>
      </c>
      <c r="S131" s="216">
        <f>'3'!BZ13</f>
        <v>212173.90899999999</v>
      </c>
      <c r="T131" s="216">
        <f>'3'!CA13</f>
        <v>281877.429</v>
      </c>
      <c r="U131" s="216">
        <f>'3'!CB13</f>
        <v>235939.57499999995</v>
      </c>
      <c r="V131" s="216">
        <f>'3'!CC13</f>
        <v>187033.79600000009</v>
      </c>
      <c r="W131" s="216">
        <f>'3'!CD13</f>
        <v>197392.47799999989</v>
      </c>
      <c r="X131" s="216">
        <f>'3'!CE13</f>
        <v>219537.1950000003</v>
      </c>
      <c r="Y131" s="216">
        <f>'3'!CF13</f>
        <v>236017.42799999984</v>
      </c>
      <c r="Z131" s="216">
        <f>'3'!CG13</f>
        <v>339639.01399999997</v>
      </c>
      <c r="AA131" s="216">
        <f>'3'!CH13</f>
        <v>140431.39600000001</v>
      </c>
      <c r="AB131" s="216">
        <f>'3'!CI13</f>
        <v>226710.96799999999</v>
      </c>
      <c r="AC131" s="216">
        <f>'3'!CJ13</f>
        <v>240904.16900000005</v>
      </c>
      <c r="AD131" s="216">
        <f>'3'!CK13</f>
        <v>249138.33099999989</v>
      </c>
      <c r="AE131" s="216">
        <f>'3'!CL13</f>
        <v>237328.24600000016</v>
      </c>
      <c r="AF131" s="216">
        <f>'3'!CM13</f>
        <v>337020.277</v>
      </c>
      <c r="AG131" s="216">
        <f>'3'!CN13</f>
        <v>235841.09099999978</v>
      </c>
      <c r="AH131" s="216">
        <f>'3'!CO13</f>
        <v>202391.55300000007</v>
      </c>
      <c r="AI131" s="216">
        <f>'3'!CP13</f>
        <v>211391.83400000003</v>
      </c>
      <c r="AJ131" s="216">
        <f>'3'!CQ13</f>
        <v>233040.90900000022</v>
      </c>
      <c r="AK131" s="216">
        <f>'3'!CR13</f>
        <v>251924.49899999984</v>
      </c>
      <c r="AL131" s="216">
        <f>'3'!CS13</f>
        <v>373516.9580000001</v>
      </c>
      <c r="AM131" s="216">
        <f>'3'!CT13</f>
        <v>148501.04300000001</v>
      </c>
      <c r="AN131" s="216">
        <f>'3'!CU13</f>
        <v>229955.40899999999</v>
      </c>
      <c r="AO131" s="216">
        <f>'3'!CV13</f>
        <v>234722.22099999996</v>
      </c>
      <c r="AP131" s="216">
        <f>'3'!CW13</f>
        <v>251001.06000000006</v>
      </c>
      <c r="AQ131" s="216">
        <f>'3'!CX13</f>
        <v>262239.60899999994</v>
      </c>
      <c r="AR131" s="216">
        <f>'3'!CY13</f>
        <v>329956.05000000005</v>
      </c>
      <c r="AS131" s="216">
        <f>'3'!CZ13</f>
        <v>270339.53000000003</v>
      </c>
      <c r="AT131" s="216">
        <f>'3'!DA13</f>
        <v>214343.59499999997</v>
      </c>
      <c r="AU131" s="216">
        <f>'3'!DB13</f>
        <v>230656.54900000012</v>
      </c>
      <c r="AV131" s="216">
        <f>'3'!DC13</f>
        <v>254962.53299999982</v>
      </c>
      <c r="AW131" s="216">
        <f>'3'!DD13</f>
        <v>274171.86599999992</v>
      </c>
      <c r="AX131" s="216">
        <f>'3'!DE13</f>
        <v>419321.52400000021</v>
      </c>
      <c r="AY131" s="216">
        <f>'3'!DF13</f>
        <v>162519.83900000001</v>
      </c>
      <c r="AZ131" s="216">
        <f>'3'!DG13</f>
        <v>268167.88399999996</v>
      </c>
      <c r="BA131" s="216">
        <f>'3'!DH13</f>
        <v>280874.82999999996</v>
      </c>
      <c r="BB131" s="216">
        <f>'3'!DI13</f>
        <v>280440.52600000007</v>
      </c>
      <c r="BC131" s="216">
        <f>'3'!DJ13</f>
        <v>290130.30200000003</v>
      </c>
      <c r="BD131" s="216">
        <f>'3'!DK13</f>
        <v>393562.53499999992</v>
      </c>
      <c r="BE131" s="216">
        <f>'3'!DL13</f>
        <v>301259.39899999998</v>
      </c>
      <c r="BF131" s="216">
        <f>'3'!DM13</f>
        <v>257755.70200000005</v>
      </c>
      <c r="BG131" s="216">
        <f>'3'!DN13</f>
        <v>265406.22500000009</v>
      </c>
      <c r="BH131" s="216">
        <f>'3'!DO13</f>
        <v>301408.95200000005</v>
      </c>
      <c r="BI131" s="216">
        <f>'3'!DP13</f>
        <v>321440.65899999999</v>
      </c>
      <c r="BJ131" s="216">
        <f>'3'!DQ13</f>
        <v>478462.86100000003</v>
      </c>
      <c r="BK131" s="216">
        <f>'3'!DR13</f>
        <v>223838.76</v>
      </c>
      <c r="BL131" s="216">
        <f>'3'!DS13</f>
        <v>323655.63</v>
      </c>
      <c r="BM131" s="216">
        <f>'3'!DT13</f>
        <v>326712.97699999996</v>
      </c>
      <c r="BN131" s="216">
        <f>'3'!DU13</f>
        <v>325691.16600000008</v>
      </c>
      <c r="BO131" s="216">
        <f>'3'!DV13</f>
        <v>348178.33400000003</v>
      </c>
      <c r="BP131" s="216">
        <f>'3'!DW13</f>
        <v>426185.62699999986</v>
      </c>
      <c r="BQ131" s="216">
        <v>354724.17500000028</v>
      </c>
      <c r="BR131" s="216">
        <v>293324.55599999987</v>
      </c>
      <c r="BS131" s="216">
        <v>285460.77</v>
      </c>
      <c r="BT131" s="216">
        <v>332082.15999999968</v>
      </c>
      <c r="BU131" s="216">
        <v>350875.09300000034</v>
      </c>
      <c r="BV131" s="216">
        <v>493138.72599999979</v>
      </c>
      <c r="BW131" s="216">
        <v>227203</v>
      </c>
      <c r="BX131" s="216">
        <v>338190.06299999997</v>
      </c>
      <c r="BY131" s="216">
        <v>337732.41100000008</v>
      </c>
      <c r="BZ131" s="216">
        <v>382157.49400000006</v>
      </c>
    </row>
    <row r="132" spans="1:78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T132" t="s">
        <v>194</v>
      </c>
      <c r="AA132" s="215" t="s">
        <v>166</v>
      </c>
      <c r="AB132" s="215" t="s">
        <v>167</v>
      </c>
      <c r="AC132" s="215" t="s">
        <v>168</v>
      </c>
      <c r="AD132" s="215" t="s">
        <v>169</v>
      </c>
      <c r="AE132" s="215" t="s">
        <v>170</v>
      </c>
      <c r="AF132" s="215" t="s">
        <v>171</v>
      </c>
      <c r="AG132" s="215" t="s">
        <v>172</v>
      </c>
      <c r="AH132" s="215" t="s">
        <v>173</v>
      </c>
      <c r="AI132" s="215" t="s">
        <v>174</v>
      </c>
      <c r="AJ132" s="215" t="s">
        <v>175</v>
      </c>
      <c r="AK132" s="215" t="s">
        <v>176</v>
      </c>
      <c r="AL132" s="215" t="s">
        <v>177</v>
      </c>
      <c r="AM132" s="218" t="s">
        <v>178</v>
      </c>
      <c r="AN132" s="218" t="s">
        <v>179</v>
      </c>
      <c r="AO132" s="218" t="s">
        <v>180</v>
      </c>
      <c r="AP132" s="218" t="s">
        <v>181</v>
      </c>
      <c r="AQ132" s="218" t="s">
        <v>182</v>
      </c>
      <c r="AR132" s="218" t="s">
        <v>183</v>
      </c>
      <c r="AS132" s="218" t="s">
        <v>184</v>
      </c>
      <c r="AT132" s="218" t="s">
        <v>185</v>
      </c>
      <c r="AU132" s="218" t="s">
        <v>186</v>
      </c>
      <c r="AV132" s="218" t="s">
        <v>187</v>
      </c>
      <c r="AW132" s="218" t="s">
        <v>188</v>
      </c>
      <c r="AX132" s="218" t="s">
        <v>189</v>
      </c>
      <c r="AY132" s="215" t="s">
        <v>197</v>
      </c>
      <c r="AZ132" s="215" t="s">
        <v>198</v>
      </c>
      <c r="BA132" s="215" t="s">
        <v>199</v>
      </c>
      <c r="BB132" s="215" t="s">
        <v>200</v>
      </c>
      <c r="BC132" s="215" t="s">
        <v>201</v>
      </c>
      <c r="BD132" s="215" t="s">
        <v>190</v>
      </c>
      <c r="BE132" s="215" t="s">
        <v>191</v>
      </c>
      <c r="BF132" s="215" t="s">
        <v>192</v>
      </c>
      <c r="BG132" s="215" t="s">
        <v>193</v>
      </c>
      <c r="BH132" s="215" t="s">
        <v>145</v>
      </c>
      <c r="BI132" s="215" t="s">
        <v>146</v>
      </c>
      <c r="BJ132" s="215" t="s">
        <v>147</v>
      </c>
      <c r="BK132" s="218" t="s">
        <v>148</v>
      </c>
      <c r="BL132" s="218" t="s">
        <v>149</v>
      </c>
      <c r="BM132" s="218" t="s">
        <v>150</v>
      </c>
      <c r="BN132" s="218" t="s">
        <v>151</v>
      </c>
      <c r="BO132" s="218" t="s">
        <v>152</v>
      </c>
      <c r="BP132" s="218" t="s">
        <v>153</v>
      </c>
      <c r="BQ132" s="218" t="s">
        <v>225</v>
      </c>
      <c r="BR132" s="218" t="s">
        <v>227</v>
      </c>
      <c r="BS132" s="218" t="s">
        <v>229</v>
      </c>
      <c r="BT132" s="218" t="s">
        <v>231</v>
      </c>
      <c r="BU132" s="218" t="s">
        <v>232</v>
      </c>
      <c r="BV132" s="218" t="s">
        <v>233</v>
      </c>
      <c r="BW132" s="215" t="s">
        <v>246</v>
      </c>
      <c r="BX132" s="215" t="s">
        <v>253</v>
      </c>
      <c r="BY132" s="215" t="s">
        <v>259</v>
      </c>
      <c r="BZ132" s="215" t="s">
        <v>260</v>
      </c>
    </row>
    <row r="133" spans="1:78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AA133" s="217">
        <f t="shared" ref="AA133:BZ133" si="1">(AA131/O131)*100-100</f>
        <v>-0.25688267367762307</v>
      </c>
      <c r="AB133" s="217">
        <f t="shared" si="1"/>
        <v>7.8138366253799774</v>
      </c>
      <c r="AC133" s="217">
        <f t="shared" si="1"/>
        <v>10.333079727360101</v>
      </c>
      <c r="AD133" s="217">
        <f t="shared" si="1"/>
        <v>6.9098435187976577</v>
      </c>
      <c r="AE133" s="217">
        <f t="shared" si="1"/>
        <v>11.855527910361573</v>
      </c>
      <c r="AF133" s="217">
        <f t="shared" si="1"/>
        <v>19.562704327064083</v>
      </c>
      <c r="AG133" s="217">
        <f t="shared" si="1"/>
        <v>-4.174119581260527E-2</v>
      </c>
      <c r="AH133" s="217">
        <f t="shared" si="1"/>
        <v>8.2112202866266841</v>
      </c>
      <c r="AI133" s="217">
        <f t="shared" si="1"/>
        <v>7.0921425891417016</v>
      </c>
      <c r="AJ133" s="217">
        <f t="shared" si="1"/>
        <v>6.1509914071735636</v>
      </c>
      <c r="AK133" s="217">
        <f t="shared" si="1"/>
        <v>6.7397866059281171</v>
      </c>
      <c r="AL133" s="217">
        <f t="shared" si="1"/>
        <v>9.9746915411785153</v>
      </c>
      <c r="AM133" s="217">
        <f t="shared" si="1"/>
        <v>5.7463268399040857</v>
      </c>
      <c r="AN133" s="217">
        <f t="shared" si="1"/>
        <v>1.4310913268210186</v>
      </c>
      <c r="AO133" s="217">
        <f t="shared" si="1"/>
        <v>-2.566144050417023</v>
      </c>
      <c r="AP133" s="217">
        <f t="shared" si="1"/>
        <v>0.74766857132080133</v>
      </c>
      <c r="AQ133" s="217">
        <f t="shared" si="1"/>
        <v>10.496585813051411</v>
      </c>
      <c r="AR133" s="217">
        <f t="shared" si="1"/>
        <v>-2.0960836727340109</v>
      </c>
      <c r="AS133" s="217">
        <f t="shared" si="1"/>
        <v>14.627832178744569</v>
      </c>
      <c r="AT133" s="217">
        <f t="shared" si="1"/>
        <v>5.9054055482245786</v>
      </c>
      <c r="AU133" s="217">
        <f t="shared" si="1"/>
        <v>9.1132730321077986</v>
      </c>
      <c r="AV133" s="217">
        <f t="shared" si="1"/>
        <v>9.4067707228174129</v>
      </c>
      <c r="AW133" s="217">
        <f t="shared" si="1"/>
        <v>8.8309660586047585</v>
      </c>
      <c r="AX133" s="217">
        <f t="shared" si="1"/>
        <v>12.263048576230929</v>
      </c>
      <c r="AY133" s="217">
        <f t="shared" si="1"/>
        <v>9.4402003627678255</v>
      </c>
      <c r="AZ133" s="217">
        <f t="shared" si="1"/>
        <v>16.617341234186839</v>
      </c>
      <c r="BA133" s="217">
        <f t="shared" si="1"/>
        <v>19.662650090551082</v>
      </c>
      <c r="BB133" s="217">
        <f t="shared" si="1"/>
        <v>11.7288213842603</v>
      </c>
      <c r="BC133" s="217">
        <f t="shared" si="1"/>
        <v>10.635576031536914</v>
      </c>
      <c r="BD133" s="217">
        <f t="shared" si="1"/>
        <v>19.277259804752745</v>
      </c>
      <c r="BE133" s="217">
        <f t="shared" si="1"/>
        <v>11.437420565168523</v>
      </c>
      <c r="BF133" s="217">
        <f t="shared" si="1"/>
        <v>20.253512590380907</v>
      </c>
      <c r="BG133" s="217">
        <f t="shared" si="1"/>
        <v>15.065549255226202</v>
      </c>
      <c r="BH133" s="217">
        <f t="shared" si="1"/>
        <v>18.216958567790925</v>
      </c>
      <c r="BI133" s="217">
        <f t="shared" si="1"/>
        <v>17.240570190378349</v>
      </c>
      <c r="BJ133" s="217">
        <f t="shared" si="1"/>
        <v>14.104054672852854</v>
      </c>
      <c r="BK133" s="217">
        <f t="shared" si="1"/>
        <v>37.730114290846672</v>
      </c>
      <c r="BL133" s="217">
        <f t="shared" si="1"/>
        <v>20.691421050255229</v>
      </c>
      <c r="BM133" s="217">
        <f t="shared" si="1"/>
        <v>16.319777389807413</v>
      </c>
      <c r="BN133" s="217">
        <f t="shared" si="1"/>
        <v>16.135556670579064</v>
      </c>
      <c r="BO133" s="217">
        <f t="shared" si="1"/>
        <v>20.007573011108647</v>
      </c>
      <c r="BP133" s="217">
        <f t="shared" si="1"/>
        <v>8.2891762042339536</v>
      </c>
      <c r="BQ133" s="217">
        <f t="shared" si="1"/>
        <v>17.747089776276255</v>
      </c>
      <c r="BR133" s="217">
        <f t="shared" si="1"/>
        <v>13.799444095323963</v>
      </c>
      <c r="BS133" s="217">
        <f t="shared" si="1"/>
        <v>7.5561697921742166</v>
      </c>
      <c r="BT133" s="217">
        <f t="shared" si="1"/>
        <v>10.176608158605589</v>
      </c>
      <c r="BU133" s="217">
        <f t="shared" si="1"/>
        <v>9.1570351092393594</v>
      </c>
      <c r="BV133" s="217">
        <f t="shared" si="1"/>
        <v>3.0672944958208177</v>
      </c>
      <c r="BW133" s="217">
        <f t="shared" si="1"/>
        <v>1.5029747305605099</v>
      </c>
      <c r="BX133" s="217">
        <f t="shared" si="1"/>
        <v>4.4907091528115757</v>
      </c>
      <c r="BY133" s="217">
        <f t="shared" si="1"/>
        <v>3.3728179704352925</v>
      </c>
      <c r="BZ133" s="217">
        <f t="shared" si="1"/>
        <v>17.337383968222198</v>
      </c>
    </row>
    <row r="134" spans="1:78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</row>
    <row r="135" spans="1:78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</row>
    <row r="136" spans="1:78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</row>
    <row r="137" spans="1:78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</row>
    <row r="138" spans="1:78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</row>
    <row r="139" spans="1:78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</row>
    <row r="140" spans="1:78">
      <c r="A140" s="223" t="s">
        <v>38</v>
      </c>
      <c r="B140" s="223">
        <f ca="1">COUNTIF('4'!D6:D17,"&gt;0")</f>
        <v>4</v>
      </c>
      <c r="C140" s="219"/>
      <c r="D140" s="219"/>
      <c r="E140" s="219"/>
      <c r="F140" s="219"/>
      <c r="G140" s="219"/>
      <c r="H140" s="219"/>
      <c r="I140" s="219"/>
      <c r="J140" s="219"/>
      <c r="K140" s="219"/>
    </row>
    <row r="141" spans="1:78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</row>
    <row r="142" spans="1:78" ht="15" customHeight="1">
      <c r="A142" s="219"/>
      <c r="B142" s="352" t="s">
        <v>219</v>
      </c>
      <c r="C142" s="352"/>
      <c r="D142" s="351" t="s">
        <v>202</v>
      </c>
      <c r="E142" s="351" t="s">
        <v>230</v>
      </c>
      <c r="F142" s="219"/>
      <c r="G142" s="219"/>
      <c r="H142" s="355" t="s">
        <v>221</v>
      </c>
      <c r="I142" s="356"/>
      <c r="J142" s="361" t="s">
        <v>202</v>
      </c>
      <c r="K142" s="351" t="s">
        <v>230</v>
      </c>
    </row>
    <row r="143" spans="1:78">
      <c r="A143" s="219"/>
      <c r="B143" s="352"/>
      <c r="C143" s="352"/>
      <c r="D143" s="351"/>
      <c r="E143" s="351"/>
      <c r="F143" s="219"/>
      <c r="G143" s="219"/>
      <c r="H143" s="357"/>
      <c r="I143" s="358"/>
      <c r="J143" s="362"/>
      <c r="K143" s="351"/>
    </row>
    <row r="144" spans="1:78">
      <c r="A144" s="219"/>
      <c r="B144" s="352"/>
      <c r="C144" s="352"/>
      <c r="D144" s="351"/>
      <c r="E144" s="351"/>
      <c r="F144" s="219"/>
      <c r="G144" s="219"/>
      <c r="H144" s="359"/>
      <c r="I144" s="360"/>
      <c r="J144" s="362"/>
      <c r="K144" s="351"/>
    </row>
    <row r="145" spans="1:11">
      <c r="A145" s="219"/>
      <c r="B145" s="239" cm="1">
        <f t="array" aca="1" ref="B145" ca="1">INDIRECT(ADDRESS(ROW('3'!DE4),COLUMN('3'!DE4)+ROW('3'!A$1)*B140+12,1,1,"3"))</f>
        <v>45383</v>
      </c>
      <c r="C145" s="239" cm="1">
        <f t="array" aca="1" ref="C145" ca="1">INDIRECT(ADDRESS(ROW('3'!DE4),COLUMN('3'!DE4)+ROW('3'!A$1)*B140+24,1,1,"3"))</f>
        <v>45748</v>
      </c>
      <c r="D145" s="351"/>
      <c r="E145" s="351"/>
      <c r="F145" s="219"/>
      <c r="G145" s="219"/>
      <c r="H145" s="239" cm="1">
        <f t="array" aca="1" ref="H145" ca="1">INDIRECT(ADDRESS(ROW('3'!DE4),COLUMN('3'!DE4)+ROW('3'!A$1)*B140+12,1,1,"3"))</f>
        <v>45383</v>
      </c>
      <c r="I145" s="239" cm="1">
        <f t="array" aca="1" ref="I145" ca="1">INDIRECT(ADDRESS(ROW('3'!DE4),COLUMN('3'!DE4)+ROW('3'!A$1)*B140+24,1,1,"3"))</f>
        <v>45748</v>
      </c>
      <c r="J145" s="363"/>
      <c r="K145" s="351"/>
    </row>
    <row r="146" spans="1:11">
      <c r="A146" s="237" t="s">
        <v>7</v>
      </c>
      <c r="B146" s="242" cm="1">
        <f t="array" aca="1" ref="B146" ca="1">INDIRECT(ADDRESS(ROW('3'!DE12),COLUMN('3'!DE12)+ROW('3'!A$1)*B140+12,1,1,"3"))</f>
        <v>1553303.541999999</v>
      </c>
      <c r="C146" s="242" cm="1">
        <f t="array" aca="1" ref="C146" ca="1">INDIRECT(ADDRESS(ROW('3'!DE12),COLUMN('3'!DE12)+ROW('3'!A$1)*B140+24,1,1,"3"))</f>
        <v>1653208.0950000007</v>
      </c>
      <c r="D146" s="243">
        <f ca="1">(C146/B146)*100-100</f>
        <v>6.4317469379723917</v>
      </c>
      <c r="E146" s="242">
        <f ca="1">C146-B146</f>
        <v>99904.553000001702</v>
      </c>
      <c r="F146" s="219"/>
      <c r="G146" s="238" t="s">
        <v>2</v>
      </c>
      <c r="H146" s="242" cm="1">
        <f t="array" aca="1" ref="H146" ca="1">INDIRECT(ADDRESS(ROW('3'!DE6),COLUMN('3'!DE6)+ROW('3'!A$1)*B140+12,1,1,"3"))</f>
        <v>1415647.6440000001</v>
      </c>
      <c r="I146" s="242" cm="1">
        <f t="array" aca="1" ref="I146" ca="1">INDIRECT(ADDRESS(ROW('3'!DE6),COLUMN('3'!DE6)+ROW('3'!A$1)*B140+24,1,1,"3"))</f>
        <v>1396940.9009999991</v>
      </c>
      <c r="J146" s="243">
        <f t="shared" ref="J146:J150" ca="1" si="2">(I146/H146)*100-100</f>
        <v>-1.3214264919160286</v>
      </c>
      <c r="K146" s="242">
        <f ca="1">I146-H146</f>
        <v>-18706.743000000948</v>
      </c>
    </row>
    <row r="147" spans="1:11">
      <c r="A147" s="220" t="s">
        <v>8</v>
      </c>
      <c r="B147" s="229" cm="1">
        <f t="array" aca="1" ref="B147" ca="1">INDIRECT(ADDRESS(ROW('3'!DE13),COLUMN('3'!DE13)+ROW('3'!A$1)*B140+12,1,1,"3"))</f>
        <v>325691.16600000008</v>
      </c>
      <c r="C147" s="229" cm="1">
        <f t="array" aca="1" ref="C147" ca="1">INDIRECT(ADDRESS(ROW('3'!DE13),COLUMN('3'!DE13)+ROW('3'!A$1)*B140+24,1,1,"3"))</f>
        <v>382157.49400000006</v>
      </c>
      <c r="D147" s="230">
        <f t="shared" ref="D147:D153" ca="1" si="3">(C147/B147)*100-100</f>
        <v>17.337383968222198</v>
      </c>
      <c r="E147" s="229">
        <f t="shared" ref="E147:E153" ca="1" si="4">C147-B147</f>
        <v>56466.32799999998</v>
      </c>
      <c r="F147" s="219"/>
      <c r="G147" s="220" t="s">
        <v>3</v>
      </c>
      <c r="H147" s="229" cm="1">
        <f t="array" aca="1" ref="H147" ca="1">INDIRECT(ADDRESS(ROW('3'!DE7),COLUMN('3'!DE7)+ROW('3'!A$1)*B140+12,1,1,"3"))</f>
        <v>1101148.2999999998</v>
      </c>
      <c r="I147" s="229" cm="1">
        <f t="array" aca="1" ref="I147" ca="1">INDIRECT(ADDRESS(ROW('3'!DE7),COLUMN('3'!DE7)+ROW('3'!A$1)*B140+24,1,1,"3"))</f>
        <v>1155370.0780000002</v>
      </c>
      <c r="J147" s="230">
        <f t="shared" ca="1" si="2"/>
        <v>4.9241122199435381</v>
      </c>
      <c r="K147" s="229">
        <f t="shared" ref="K147:K151" ca="1" si="5">I147-H147</f>
        <v>54221.778000000399</v>
      </c>
    </row>
    <row r="148" spans="1:11">
      <c r="A148" s="220" t="s">
        <v>9</v>
      </c>
      <c r="B148" s="229" cm="1">
        <f t="array" aca="1" ref="B148" ca="1">INDIRECT(ADDRESS(ROW('3'!DE14),COLUMN('3'!DE14)+ROW('3'!A$1)*B140+12,1,1,"3"))</f>
        <v>154354.46999999997</v>
      </c>
      <c r="C148" s="229" cm="1">
        <f t="array" aca="1" ref="C148" ca="1">INDIRECT(ADDRESS(ROW('3'!DE14),COLUMN('3'!DE14)+ROW('3'!A$1)*B140+24,1,1,"3"))</f>
        <v>158512.44300000009</v>
      </c>
      <c r="D148" s="230">
        <f t="shared" ca="1" si="3"/>
        <v>2.6937820459621946</v>
      </c>
      <c r="E148" s="229">
        <f t="shared" ca="1" si="4"/>
        <v>4157.9730000001146</v>
      </c>
      <c r="F148" s="219"/>
      <c r="G148" s="220" t="s">
        <v>4</v>
      </c>
      <c r="H148" s="229" cm="1">
        <f t="array" aca="1" ref="H148" ca="1">INDIRECT(ADDRESS(ROW('3'!DE8),COLUMN('3'!DE8)+ROW('3'!A$1)*B140+12,1,1,"3"))</f>
        <v>77884.472999999998</v>
      </c>
      <c r="I148" s="229" cm="1">
        <f t="array" aca="1" ref="I148" ca="1">INDIRECT(ADDRESS(ROW('3'!DE8),COLUMN('3'!DE8)+ROW('3'!A$1)*B140+24,1,1,"3"))</f>
        <v>54495.926999999996</v>
      </c>
      <c r="J148" s="230">
        <f t="shared" ca="1" si="2"/>
        <v>-30.029792972984495</v>
      </c>
      <c r="K148" s="229">
        <f t="shared" ca="1" si="5"/>
        <v>-23388.546000000002</v>
      </c>
    </row>
    <row r="149" spans="1:11">
      <c r="A149" s="220" t="s">
        <v>10</v>
      </c>
      <c r="B149" s="229" cm="1">
        <f t="array" aca="1" ref="B149" ca="1">INDIRECT(ADDRESS(ROW('3'!DE15),COLUMN('3'!DE15)+ROW('3'!A$1)*B140+12,1,1,"3"))</f>
        <v>49204.991999999998</v>
      </c>
      <c r="C149" s="229" cm="1">
        <f t="array" aca="1" ref="C149" ca="1">INDIRECT(ADDRESS(ROW('3'!DE15),COLUMN('3'!DE15)+ROW('3'!A$1)*B140+24,1,1,"3"))</f>
        <v>4045.1940000000177</v>
      </c>
      <c r="D149" s="230">
        <f t="shared" ca="1" si="3"/>
        <v>-91.778895116983222</v>
      </c>
      <c r="E149" s="229">
        <f t="shared" ca="1" si="4"/>
        <v>-45159.797999999981</v>
      </c>
      <c r="F149" s="219"/>
      <c r="G149" s="220" t="s">
        <v>5</v>
      </c>
      <c r="H149" s="229" cm="1">
        <f t="array" aca="1" ref="H149" ca="1">INDIRECT(ADDRESS(ROW('3'!DE9),COLUMN('3'!DE9)+ROW('3'!A$1)*B140+12,1,1,"3"))</f>
        <v>49427.97100000002</v>
      </c>
      <c r="I149" s="229" cm="1">
        <f t="array" aca="1" ref="I149" ca="1">INDIRECT(ADDRESS(ROW('3'!DE9),COLUMN('3'!DE9)+ROW('3'!A$1)*B140+24,1,1,"3"))</f>
        <v>52597.654999999999</v>
      </c>
      <c r="J149" s="230">
        <f t="shared" ca="1" si="2"/>
        <v>6.4127333893595875</v>
      </c>
      <c r="K149" s="229">
        <f t="shared" ca="1" si="5"/>
        <v>3169.6839999999793</v>
      </c>
    </row>
    <row r="150" spans="1:11">
      <c r="A150" s="220" t="s">
        <v>11</v>
      </c>
      <c r="B150" s="229" cm="1">
        <f t="array" aca="1" ref="B150" ca="1">INDIRECT(ADDRESS(ROW('3'!DE16),COLUMN('3'!DE16)+ROW('3'!A$1)*B140+12,1,1,"3"))</f>
        <v>448047.40500000003</v>
      </c>
      <c r="C150" s="229" cm="1">
        <f t="array" aca="1" ref="C150" ca="1">INDIRECT(ADDRESS(ROW('3'!DE16),COLUMN('3'!DE16)+ROW('3'!A$1)*B140+24,1,1,"3"))</f>
        <v>419502.04200000002</v>
      </c>
      <c r="D150" s="230">
        <f t="shared" ca="1" si="3"/>
        <v>-6.3710586606343611</v>
      </c>
      <c r="E150" s="229">
        <f t="shared" ca="1" si="4"/>
        <v>-28545.363000000012</v>
      </c>
      <c r="F150" s="219"/>
      <c r="G150" s="234" t="s">
        <v>226</v>
      </c>
      <c r="H150" s="235" cm="1">
        <f t="array" aca="1" ref="H150" ca="1">INDIRECT(ADDRESS(ROW('3'!DE10),COLUMN('3'!DE10)+ROW('3'!A$1)*B140+12,1,1,"3"))</f>
        <v>187049.61200000008</v>
      </c>
      <c r="I150" s="235" cm="1">
        <f t="array" aca="1" ref="I150" ca="1">INDIRECT(ADDRESS(ROW('3'!DE10),COLUMN('3'!DE10)+ROW('3'!A$1)*B140+24,1,1,"3"))</f>
        <v>134365.99599999998</v>
      </c>
      <c r="J150" s="236">
        <f t="shared" ca="1" si="2"/>
        <v>-28.165584219442309</v>
      </c>
      <c r="K150" s="229">
        <f t="shared" ca="1" si="5"/>
        <v>-52683.616000000096</v>
      </c>
    </row>
    <row r="151" spans="1:11">
      <c r="A151" s="220" t="s">
        <v>12</v>
      </c>
      <c r="B151" s="229" cm="1">
        <f t="array" aca="1" ref="B151" ca="1">INDIRECT(ADDRESS(ROW('3'!DE17),COLUMN('3'!DE17)+ROW('3'!A$1)*B140+12,1,1,"3"))</f>
        <v>454898.11800000002</v>
      </c>
      <c r="C151" s="229" cm="1">
        <f t="array" aca="1" ref="C151" ca="1">INDIRECT(ADDRESS(ROW('3'!DE17),COLUMN('3'!DE17)+ROW('3'!A$1)*B140+24,1,1,"3"))</f>
        <v>526546.42099999986</v>
      </c>
      <c r="D151" s="230">
        <f t="shared" ca="1" si="3"/>
        <v>15.750406555869702</v>
      </c>
      <c r="E151" s="229">
        <f t="shared" ca="1" si="4"/>
        <v>71648.30299999984</v>
      </c>
      <c r="F151" s="219"/>
      <c r="G151" s="220" t="s">
        <v>6</v>
      </c>
      <c r="H151" s="229" cm="1">
        <f t="array" aca="1" ref="H151" ca="1">INDIRECT(ADDRESS(ROW('3'!DE11),COLUMN('3'!DE11)+ROW('3'!A$1)*B140+12,1,1,"3"))</f>
        <v>137.28800000000007</v>
      </c>
      <c r="I151" s="229" cm="1">
        <f t="array" aca="1" ref="I151" ca="1">INDIRECT(ADDRESS(ROW('3'!DE11),COLUMN('3'!DE11)+ROW('3'!A$1)*B140+24,1,1,"3"))</f>
        <v>111.245</v>
      </c>
      <c r="J151" s="230">
        <f ca="1">(((I151+ABS(H151))/ABS(H151))*100-100)</f>
        <v>81.03038867198876</v>
      </c>
      <c r="K151" s="229">
        <f t="shared" ca="1" si="5"/>
        <v>-26.043000000000063</v>
      </c>
    </row>
    <row r="152" spans="1:11">
      <c r="A152" s="220" t="s">
        <v>13</v>
      </c>
      <c r="B152" s="229" cm="1">
        <f t="array" aca="1" ref="B152" ca="1">INDIRECT(ADDRESS(ROW('3'!DE18),COLUMN('3'!DE18)+ROW('3'!A$1)*B140+12,1,1,"3"))</f>
        <v>89184.071999999986</v>
      </c>
      <c r="C152" s="229" cm="1">
        <f t="array" aca="1" ref="C152" ca="1">INDIRECT(ADDRESS(ROW('3'!DE18),COLUMN('3'!DE18)+ROW('3'!A$1)*B140+24,1,1,"3"))</f>
        <v>125464.08299999998</v>
      </c>
      <c r="D152" s="230">
        <f t="shared" ca="1" si="3"/>
        <v>40.679922082947741</v>
      </c>
      <c r="E152" s="229">
        <f t="shared" ca="1" si="4"/>
        <v>36280.010999999999</v>
      </c>
      <c r="F152" s="219"/>
      <c r="G152" s="219"/>
      <c r="H152" s="231"/>
      <c r="I152" s="246"/>
      <c r="J152" s="232"/>
      <c r="K152" s="219"/>
    </row>
    <row r="153" spans="1:11">
      <c r="A153" s="220" t="s">
        <v>14</v>
      </c>
      <c r="B153" s="229" cm="1">
        <f t="array" aca="1" ref="B153" ca="1">INDIRECT(ADDRESS(ROW('3'!DE19),COLUMN('3'!DE19)+ROW('3'!A$1)*B140+12,1,1,"3"))</f>
        <v>31923.318999999989</v>
      </c>
      <c r="C153" s="229" cm="1">
        <f t="array" aca="1" ref="C153" ca="1">INDIRECT(ADDRESS(ROW('3'!DE19),COLUMN('3'!DE19)+ROW('3'!A$1)*B140+24,1,1,"3"))</f>
        <v>36980.418000000005</v>
      </c>
      <c r="D153" s="230">
        <f t="shared" ca="1" si="3"/>
        <v>15.841394812362779</v>
      </c>
      <c r="E153" s="229">
        <f t="shared" ca="1" si="4"/>
        <v>5057.0990000000165</v>
      </c>
      <c r="F153" s="219"/>
      <c r="G153" s="219"/>
      <c r="H153" s="231"/>
      <c r="I153" s="231"/>
      <c r="J153" s="232"/>
      <c r="K153" s="219"/>
    </row>
    <row r="154" spans="1:11">
      <c r="A154" s="219"/>
      <c r="B154" s="219"/>
      <c r="C154" s="219"/>
      <c r="D154" s="232"/>
      <c r="E154" s="232"/>
      <c r="F154" s="219"/>
      <c r="G154" s="219"/>
      <c r="H154" s="219"/>
      <c r="I154" s="219"/>
      <c r="J154" s="232"/>
      <c r="K154" s="219"/>
    </row>
    <row r="155" spans="1:11">
      <c r="A155" s="219"/>
      <c r="B155" s="219"/>
      <c r="C155" s="219"/>
      <c r="D155" s="232"/>
      <c r="E155" s="232"/>
      <c r="F155" s="219"/>
      <c r="G155" s="219"/>
      <c r="H155" s="219"/>
      <c r="I155" s="219"/>
      <c r="J155" s="232"/>
      <c r="K155" s="219"/>
    </row>
    <row r="156" spans="1:11" ht="15" customHeight="1">
      <c r="A156" s="219"/>
      <c r="B156" s="352" t="s">
        <v>220</v>
      </c>
      <c r="C156" s="352"/>
      <c r="D156" s="353" t="s">
        <v>202</v>
      </c>
      <c r="E156" s="351" t="s">
        <v>230</v>
      </c>
      <c r="F156" s="219"/>
      <c r="G156" s="219"/>
      <c r="H156" s="355" t="s">
        <v>222</v>
      </c>
      <c r="I156" s="356"/>
      <c r="J156" s="364" t="s">
        <v>202</v>
      </c>
      <c r="K156" s="351" t="s">
        <v>230</v>
      </c>
    </row>
    <row r="157" spans="1:11">
      <c r="A157" s="219"/>
      <c r="B157" s="352"/>
      <c r="C157" s="352"/>
      <c r="D157" s="353"/>
      <c r="E157" s="351"/>
      <c r="F157" s="219"/>
      <c r="G157" s="219"/>
      <c r="H157" s="357"/>
      <c r="I157" s="358"/>
      <c r="J157" s="365"/>
      <c r="K157" s="351"/>
    </row>
    <row r="158" spans="1:11">
      <c r="A158" s="219"/>
      <c r="B158" s="352"/>
      <c r="C158" s="352"/>
      <c r="D158" s="353"/>
      <c r="E158" s="351"/>
      <c r="F158" s="219"/>
      <c r="G158" s="219"/>
      <c r="H158" s="359"/>
      <c r="I158" s="360"/>
      <c r="J158" s="365"/>
      <c r="K158" s="351"/>
    </row>
    <row r="159" spans="1:11">
      <c r="A159" s="219"/>
      <c r="B159" s="239" cm="1">
        <f t="array" aca="1" ref="B159" ca="1">INDIRECT(ADDRESS(ROW('3'!DE4),COLUMN('3'!DE4)+ROW('3'!A$1)*B140+12,1,1,"3"))</f>
        <v>45383</v>
      </c>
      <c r="C159" s="239" cm="1">
        <f t="array" aca="1" ref="C159" ca="1">INDIRECT(ADDRESS(ROW('3'!DE4),COLUMN('3'!DE4)+ROW('3'!A$1)*B140+24,1,1,"3"))</f>
        <v>45748</v>
      </c>
      <c r="D159" s="353"/>
      <c r="E159" s="351"/>
      <c r="F159" s="219"/>
      <c r="G159" s="219"/>
      <c r="H159" s="239" cm="1">
        <f t="array" aca="1" ref="H159" ca="1">INDIRECT(ADDRESS(ROW('3'!DE4),COLUMN('3'!DE4)+ROW('3'!A$1)*B140+12,1,1,"3"))</f>
        <v>45383</v>
      </c>
      <c r="I159" s="239" cm="1">
        <f t="array" aca="1" ref="I159" ca="1">INDIRECT(ADDRESS(ROW('3'!DE4),COLUMN('3'!DE4)+ROW('3'!A$1)*B140+24,1,1,"3"))</f>
        <v>45748</v>
      </c>
      <c r="J159" s="366"/>
      <c r="K159" s="351"/>
    </row>
    <row r="160" spans="1:11">
      <c r="A160" s="238" t="s">
        <v>7</v>
      </c>
      <c r="B160" s="242" cm="1">
        <f t="array" aca="1" ref="B160" ca="1">INDIRECT(ADDRESS(ROW('1'!BN18),COLUMN('1'!BN18)+ROW('3'!A$1)*B140+13,1,1,"1"))</f>
        <v>5607641.7679999992</v>
      </c>
      <c r="C160" s="242" cm="1">
        <f t="array" aca="1" ref="C160" ca="1">INDIRECT(ADDRESS(ROW('1'!BN18),COLUMN('1'!BN18)+ROW('3'!A$1)*B140+26,1,1,"1"))</f>
        <v>6228056.3050000006</v>
      </c>
      <c r="D160" s="243">
        <f ca="1">(C160/B160)*100-100</f>
        <v>11.063733431411336</v>
      </c>
      <c r="E160" s="242">
        <f ca="1">C160-B160</f>
        <v>620414.53700000141</v>
      </c>
      <c r="F160" s="219"/>
      <c r="G160" s="238" t="s">
        <v>2</v>
      </c>
      <c r="H160" s="242" cm="1">
        <f t="array" aca="1" ref="H160" ca="1">INDIRECT(ADDRESS(ROW('1'!BN12),COLUMN('1'!BN12)+ROW('3'!A$1)*B140+13,1,1,"1"))</f>
        <v>5511561.6439999994</v>
      </c>
      <c r="I160" s="242" cm="1">
        <f t="array" aca="1" ref="I160" ca="1">INDIRECT(ADDRESS(ROW('1'!BN12),COLUMN('1'!BN12)+ROW('3'!A$1)*B140+26,1,1,"1"))</f>
        <v>5450595.2919999994</v>
      </c>
      <c r="J160" s="243">
        <f t="shared" ref="J160:J165" ca="1" si="6">(I160/H160)*100-100</f>
        <v>-1.1061538623335423</v>
      </c>
      <c r="K160" s="242">
        <f ca="1">I160-H160</f>
        <v>-60966.351999999955</v>
      </c>
    </row>
    <row r="161" spans="1:11">
      <c r="A161" s="233" t="s">
        <v>8</v>
      </c>
      <c r="B161" s="229" cm="1">
        <f t="array" aca="1" ref="B161" ca="1">INDIRECT(ADDRESS(ROW('1'!BN19),COLUMN('1'!BN19)+ROW('3'!A$1)*B140+13,1,1,"1"))</f>
        <v>1199898.5330000001</v>
      </c>
      <c r="C161" s="229" cm="1">
        <f t="array" aca="1" ref="C161" ca="1">INDIRECT(ADDRESS(ROW('1'!BN19),COLUMN('1'!BN19)+ROW('3'!A$1)*B140+26,1,1,"1"))</f>
        <v>1285282.9680000001</v>
      </c>
      <c r="D161" s="230">
        <f t="shared" ref="D161:D167" ca="1" si="7">(C161/B161)*100-100</f>
        <v>7.1159712802149073</v>
      </c>
      <c r="E161" s="229">
        <f t="shared" ref="E161:E167" ca="1" si="8">C161-B161</f>
        <v>85384.435000000056</v>
      </c>
      <c r="F161" s="219"/>
      <c r="G161" s="220" t="s">
        <v>3</v>
      </c>
      <c r="H161" s="229" cm="1">
        <f t="array" aca="1" ref="H161" ca="1">INDIRECT(ADDRESS(ROW('1'!BN13),COLUMN('1'!BN13)+ROW('3'!A$1)*B140+13,1,1,"1"))</f>
        <v>4154252.8169999998</v>
      </c>
      <c r="I161" s="229" cm="1">
        <f t="array" aca="1" ref="I161" ca="1">INDIRECT(ADDRESS(ROW('1'!BN13),COLUMN('1'!BN13)+ROW('3'!A$1)*B140+26,1,1,"1"))</f>
        <v>4410726.5360000003</v>
      </c>
      <c r="J161" s="230">
        <f t="shared" ca="1" si="6"/>
        <v>6.1737628954708867</v>
      </c>
      <c r="K161" s="229">
        <f t="shared" ref="K161:K165" ca="1" si="9">I161-H161</f>
        <v>256473.71900000051</v>
      </c>
    </row>
    <row r="162" spans="1:11">
      <c r="A162" s="233" t="s">
        <v>9</v>
      </c>
      <c r="B162" s="229" cm="1">
        <f t="array" aca="1" ref="B162" ca="1">INDIRECT(ADDRESS(ROW('1'!BN20),COLUMN('1'!BN20)+ROW('3'!A$1)*B140+13,1,1,"1"))</f>
        <v>612620.72</v>
      </c>
      <c r="C162" s="229" cm="1">
        <f t="array" aca="1" ref="C162" ca="1">INDIRECT(ADDRESS(ROW('1'!BN20),COLUMN('1'!BN20)+ROW('3'!A$1)*B140+26,1,1,"1"))</f>
        <v>743907.66</v>
      </c>
      <c r="D162" s="230">
        <f t="shared" ca="1" si="7"/>
        <v>21.4303786525536</v>
      </c>
      <c r="E162" s="229">
        <f t="shared" ca="1" si="8"/>
        <v>131286.94000000006</v>
      </c>
      <c r="F162" s="219"/>
      <c r="G162" s="220" t="s">
        <v>4</v>
      </c>
      <c r="H162" s="229" cm="1">
        <f t="array" aca="1" ref="H162" ca="1">INDIRECT(ADDRESS(ROW('1'!BN14),COLUMN('1'!BN14)+ROW('3'!A$1)*B140+13,1,1,"1"))</f>
        <v>280622.451</v>
      </c>
      <c r="I162" s="229" cm="1">
        <f t="array" aca="1" ref="I162" ca="1">INDIRECT(ADDRESS(ROW('1'!BN14),COLUMN('1'!BN14)+ROW('3'!A$1)*B140+26,1,1,"1"))</f>
        <v>238977.04300000001</v>
      </c>
      <c r="J162" s="230">
        <f t="shared" ca="1" si="6"/>
        <v>-14.840369276084758</v>
      </c>
      <c r="K162" s="229">
        <f t="shared" ca="1" si="9"/>
        <v>-41645.407999999996</v>
      </c>
    </row>
    <row r="163" spans="1:11">
      <c r="A163" s="233" t="s">
        <v>10</v>
      </c>
      <c r="B163" s="229" cm="1">
        <f t="array" aca="1" ref="B163" ca="1">INDIRECT(ADDRESS(ROW('1'!BN21),COLUMN('1'!BN21)+ROW('3'!A$1)*B140+13,1,1,"1"))</f>
        <v>193244.109</v>
      </c>
      <c r="C163" s="229" cm="1">
        <f t="array" aca="1" ref="C163" ca="1">INDIRECT(ADDRESS(ROW('1'!BN21),COLUMN('1'!BN21)+ROW('3'!A$1)*B140+26,1,1,"1"))</f>
        <v>203119.2</v>
      </c>
      <c r="D163" s="230">
        <f t="shared" ca="1" si="7"/>
        <v>5.1101640567992774</v>
      </c>
      <c r="E163" s="229">
        <f t="shared" ca="1" si="8"/>
        <v>9875.0910000000149</v>
      </c>
      <c r="F163" s="219"/>
      <c r="G163" s="220" t="s">
        <v>5</v>
      </c>
      <c r="H163" s="229" cm="1">
        <f t="array" aca="1" ref="H163" ca="1">INDIRECT(ADDRESS(ROW('1'!BN15),COLUMN('1'!BN15)+ROW('3'!A$1)*B140+13,1,1,"1"))</f>
        <v>197970.28200000001</v>
      </c>
      <c r="I163" s="229" cm="1">
        <f t="array" aca="1" ref="I163" ca="1">INDIRECT(ADDRESS(ROW('1'!BN15),COLUMN('1'!BN15)+ROW('3'!A$1)*B140+26,1,1,"1"))</f>
        <v>193809.111</v>
      </c>
      <c r="J163" s="230">
        <f t="shared" ca="1" si="6"/>
        <v>-2.101916993783945</v>
      </c>
      <c r="K163" s="229">
        <f t="shared" ca="1" si="9"/>
        <v>-4161.1710000000021</v>
      </c>
    </row>
    <row r="164" spans="1:11">
      <c r="A164" s="233" t="s">
        <v>11</v>
      </c>
      <c r="B164" s="229" cm="1">
        <f t="array" aca="1" ref="B164" ca="1">INDIRECT(ADDRESS(ROW('1'!BN22),COLUMN('1'!BN22)+ROW('3'!A$1)*B140+13,1,1,"1"))</f>
        <v>1324837.4620000001</v>
      </c>
      <c r="C164" s="229" cm="1">
        <f t="array" aca="1" ref="C164" ca="1">INDIRECT(ADDRESS(ROW('1'!BN22),COLUMN('1'!BN22)+ROW('3'!A$1)*B140+26,1,1,"1"))</f>
        <v>1457215.54</v>
      </c>
      <c r="D164" s="230">
        <f t="shared" ca="1" si="7"/>
        <v>9.9920240630997625</v>
      </c>
      <c r="E164" s="229">
        <f t="shared" ca="1" si="8"/>
        <v>132378.07799999998</v>
      </c>
      <c r="F164" s="219"/>
      <c r="G164" s="220" t="s">
        <v>226</v>
      </c>
      <c r="H164" s="229" cm="1">
        <f t="array" aca="1" ref="H164" ca="1">INDIRECT(ADDRESS(ROW('1'!BN16),COLUMN('1'!BN16)+ROW('3'!A$1)*B140+13,1,1,"1"))</f>
        <v>878177.56700000004</v>
      </c>
      <c r="I164" s="229" cm="1">
        <f t="array" aca="1" ref="I164" ca="1">INDIRECT(ADDRESS(ROW('1'!BN16),COLUMN('1'!BN16)+ROW('3'!A$1)*B140+26,1,1,"1"))</f>
        <v>606446.92099999997</v>
      </c>
      <c r="J164" s="230">
        <f t="shared" ca="1" si="6"/>
        <v>-30.942562895141691</v>
      </c>
      <c r="K164" s="229">
        <f t="shared" ca="1" si="9"/>
        <v>-271730.64600000007</v>
      </c>
    </row>
    <row r="165" spans="1:11">
      <c r="A165" s="233" t="s">
        <v>12</v>
      </c>
      <c r="B165" s="229" cm="1">
        <f t="array" aca="1" ref="B165" ca="1">INDIRECT(ADDRESS(ROW('1'!BN23),COLUMN('1'!BN23)+ROW('3'!A$1)*B140+13,1,1,"1"))</f>
        <v>1734144.878</v>
      </c>
      <c r="C165" s="229" cm="1">
        <f t="array" aca="1" ref="C165" ca="1">INDIRECT(ADDRESS(ROW('1'!BN23),COLUMN('1'!BN23)+ROW('3'!A$1)*B140+26,1,1,"1"))</f>
        <v>1920596.7</v>
      </c>
      <c r="D165" s="230">
        <f t="shared" ca="1" si="7"/>
        <v>10.751801903370151</v>
      </c>
      <c r="E165" s="229">
        <f t="shared" ca="1" si="8"/>
        <v>186451.82199999993</v>
      </c>
      <c r="F165" s="219"/>
      <c r="G165" s="220" t="s">
        <v>6</v>
      </c>
      <c r="H165" s="229" cm="1">
        <f t="array" aca="1" ref="H165" ca="1">INDIRECT(ADDRESS(ROW('1'!BN17),COLUMN('1'!BN17)+ROW('3'!A$1)*B140+13,1,1,"1"))</f>
        <v>538.52700000000004</v>
      </c>
      <c r="I165" s="229" cm="1">
        <f t="array" aca="1" ref="I165" ca="1">INDIRECT(ADDRESS(ROW('1'!BN17),COLUMN('1'!BN17)+ROW('3'!A$1)*B140+26,1,1,"1"))</f>
        <v>635.68100000000004</v>
      </c>
      <c r="J165" s="230">
        <f t="shared" ca="1" si="6"/>
        <v>18.040692481528311</v>
      </c>
      <c r="K165" s="229">
        <f t="shared" ca="1" si="9"/>
        <v>97.153999999999996</v>
      </c>
    </row>
    <row r="166" spans="1:11">
      <c r="A166" s="233" t="s">
        <v>13</v>
      </c>
      <c r="B166" s="229" cm="1">
        <f t="array" aca="1" ref="B166" ca="1">INDIRECT(ADDRESS(ROW('1'!BN24),COLUMN('1'!BN24)+ROW('3'!A$1)*B140+13,1,1,"1"))</f>
        <v>387668.95899999997</v>
      </c>
      <c r="C166" s="229" cm="1">
        <f t="array" aca="1" ref="C166" ca="1">INDIRECT(ADDRESS(ROW('1'!BN24),COLUMN('1'!BN24)+ROW('3'!A$1)*B140+26,1,1,"1"))</f>
        <v>455606.33199999999</v>
      </c>
      <c r="D166" s="230">
        <f t="shared" ca="1" si="7"/>
        <v>17.524584164604235</v>
      </c>
      <c r="E166" s="229">
        <f t="shared" ca="1" si="8"/>
        <v>67937.373000000021</v>
      </c>
      <c r="F166" s="219"/>
      <c r="G166" s="219"/>
      <c r="H166" s="231"/>
      <c r="I166" s="231"/>
      <c r="J166" s="225"/>
      <c r="K166" s="219"/>
    </row>
    <row r="167" spans="1:11">
      <c r="A167" s="233" t="s">
        <v>14</v>
      </c>
      <c r="B167" s="229" cm="1">
        <f t="array" aca="1" ref="B167" ca="1">INDIRECT(ADDRESS(ROW('1'!BN25),COLUMN('1'!BN25)+ROW('3'!A$1)*B140+13,1,1,"1"))</f>
        <v>155227.10699999999</v>
      </c>
      <c r="C167" s="229" cm="1">
        <f t="array" aca="1" ref="C167" ca="1">INDIRECT(ADDRESS(ROW('1'!BN25),COLUMN('1'!BN25)+ROW('3'!A$1)*B140+26,1,1,"1"))</f>
        <v>162327.905</v>
      </c>
      <c r="D167" s="230">
        <f t="shared" ca="1" si="7"/>
        <v>4.5744574753944249</v>
      </c>
      <c r="E167" s="229">
        <f t="shared" ca="1" si="8"/>
        <v>7100.7980000000098</v>
      </c>
      <c r="F167" s="219"/>
      <c r="G167" s="219"/>
      <c r="H167" s="231"/>
      <c r="I167" s="231"/>
      <c r="J167" s="225"/>
      <c r="K167" s="219"/>
    </row>
    <row r="168" spans="1:1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</row>
    <row r="169" spans="1:1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32"/>
    </row>
    <row r="170" spans="1:1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</row>
    <row r="171" spans="1:1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</row>
    <row r="172" spans="1:1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</row>
    <row r="173" spans="1:11" hidden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idden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</row>
    <row r="175" spans="1:11" hidden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</row>
    <row r="176" spans="1:11" hidden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</row>
    <row r="177" spans="1:11" hidden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</row>
    <row r="178" spans="1:11" hidden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</row>
    <row r="179" spans="1:11" hidden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368" t="s">
        <v>89</v>
      </c>
      <c r="B1" s="369"/>
      <c r="C1" s="369"/>
      <c r="D1" s="369"/>
      <c r="E1" s="369"/>
      <c r="F1" s="369"/>
      <c r="G1" s="370"/>
    </row>
    <row r="2" spans="1:9" ht="15" customHeight="1">
      <c r="A2" s="34" t="s">
        <v>38</v>
      </c>
      <c r="B2" s="371" t="s">
        <v>90</v>
      </c>
      <c r="C2" s="372"/>
      <c r="D2" s="371" t="s">
        <v>91</v>
      </c>
      <c r="E2" s="372"/>
      <c r="F2" s="371" t="s">
        <v>92</v>
      </c>
      <c r="G2" s="372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1289402.2521818182</v>
      </c>
      <c r="C7" s="61">
        <f ca="1">AVERAGE('4'!C6:C16)</f>
        <v>1425046.9291818179</v>
      </c>
      <c r="D7" s="61">
        <f ca="1">AVERAGE('4'!E6:E16)</f>
        <v>1313509.0475454545</v>
      </c>
      <c r="E7" s="61">
        <f ca="1">AVERAGE('4'!F6:F16)</f>
        <v>1418729.4979090912</v>
      </c>
      <c r="F7" s="61">
        <f ca="1">B7-D7</f>
        <v>-24106.795363636222</v>
      </c>
      <c r="G7" s="61">
        <f ca="1">C7-E7</f>
        <v>6317.4312727267388</v>
      </c>
      <c r="I7" s="62"/>
    </row>
    <row r="8" spans="1:9">
      <c r="A8" s="39" t="s">
        <v>53</v>
      </c>
      <c r="B8" s="61">
        <f ca="1">'4'!B17</f>
        <v>1358321.8030000005</v>
      </c>
      <c r="C8" s="61">
        <f ca="1">'4'!C17</f>
        <v>1470191.433</v>
      </c>
      <c r="D8" s="61">
        <f ca="1">'4'!E17</f>
        <v>2516060.8440000024</v>
      </c>
      <c r="E8" s="61">
        <f ca="1">'4'!F17</f>
        <v>2272808.0069999993</v>
      </c>
      <c r="F8" s="61">
        <f ca="1">B8-D8</f>
        <v>-1157739.0410000018</v>
      </c>
      <c r="G8" s="61">
        <f ca="1">C8-E8</f>
        <v>-802616.57399999932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368" t="s">
        <v>89</v>
      </c>
      <c r="B64" s="369"/>
      <c r="C64" s="369"/>
      <c r="D64" s="369"/>
      <c r="E64" s="369"/>
      <c r="F64" s="369"/>
      <c r="G64" s="370"/>
    </row>
    <row r="65" spans="1:10" ht="15" customHeight="1">
      <c r="A65" s="34" t="s">
        <v>38</v>
      </c>
      <c r="B65" s="371" t="s">
        <v>94</v>
      </c>
      <c r="C65" s="372"/>
      <c r="D65" s="371" t="s">
        <v>95</v>
      </c>
      <c r="E65" s="372"/>
      <c r="F65" s="371" t="s">
        <v>96</v>
      </c>
      <c r="G65" s="372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4.7697243411245038</v>
      </c>
      <c r="C70" s="40">
        <f ca="1">C7/J70*100</f>
        <v>4.9072775783364389</v>
      </c>
      <c r="D70" s="40">
        <f ca="1">D7/I70*100</f>
        <v>4.8588995914685134</v>
      </c>
      <c r="E70" s="40">
        <f ca="1">E7/J70*100</f>
        <v>4.8855229341892921</v>
      </c>
      <c r="F70" s="40">
        <f ca="1">F7/I70*100</f>
        <v>-8.9175250344009277E-2</v>
      </c>
      <c r="G70" s="40">
        <f ca="1">G7/J70*100</f>
        <v>2.1754644147145816E-2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5.0246698079566015</v>
      </c>
      <c r="C71" s="40">
        <f ca="1">C8/J71*100</f>
        <v>5.0627367473192324</v>
      </c>
      <c r="D71" s="40">
        <f ca="1">D8/I71*100</f>
        <v>9.3073489138630947</v>
      </c>
      <c r="E71" s="40">
        <f ca="1">E8/J71*100</f>
        <v>7.826619281245863</v>
      </c>
      <c r="F71" s="40">
        <f ca="1">F8/I71*100</f>
        <v>-4.2826791059064941</v>
      </c>
      <c r="G71" s="40">
        <f ca="1">G8/J71*100</f>
        <v>-2.7638825339266297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368" t="s">
        <v>3</v>
      </c>
      <c r="B127" s="369"/>
      <c r="C127" s="369"/>
      <c r="D127" s="369"/>
      <c r="E127" s="369"/>
      <c r="F127" s="369"/>
      <c r="G127" s="370"/>
    </row>
    <row r="128" spans="1:7" ht="15" customHeight="1">
      <c r="A128" s="34" t="s">
        <v>38</v>
      </c>
      <c r="B128" s="371" t="s">
        <v>90</v>
      </c>
      <c r="C128" s="373"/>
      <c r="D128" s="372"/>
      <c r="E128" s="371" t="s">
        <v>94</v>
      </c>
      <c r="F128" s="373"/>
      <c r="G128" s="372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949988.05590909091</v>
      </c>
      <c r="C133" s="61">
        <f ca="1">AVERAGE('4'!C152:C162)</f>
        <v>1038891.4877272728</v>
      </c>
      <c r="D133" s="61">
        <f ca="1">AVERAGE('4'!E152:E162)</f>
        <v>1102681.6340000001</v>
      </c>
      <c r="E133" s="40">
        <f t="shared" ref="E133:G134" ca="1" si="0">B133/I133*100</f>
        <v>3.7942334032816016</v>
      </c>
      <c r="F133" s="40">
        <f t="shared" ca="1" si="0"/>
        <v>3.8430412296977181</v>
      </c>
      <c r="G133" s="40">
        <f t="shared" ca="1" si="0"/>
        <v>3.7971836209481009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1107409.0789999999</v>
      </c>
      <c r="C134" s="61">
        <f ca="1">'4'!C163</f>
        <v>1172609.2300000004</v>
      </c>
      <c r="D134" s="61" t="str">
        <f ca="1">'4'!E163</f>
        <v/>
      </c>
      <c r="E134" s="40">
        <f t="shared" ca="1" si="0"/>
        <v>4.4229698389399559</v>
      </c>
      <c r="F134" s="40">
        <f t="shared" ca="1" si="0"/>
        <v>4.3376865345893574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368" t="s">
        <v>104</v>
      </c>
      <c r="B173" s="369"/>
      <c r="C173" s="369"/>
      <c r="D173" s="369"/>
      <c r="E173" s="369"/>
      <c r="F173" s="369"/>
      <c r="G173" s="370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371" t="s">
        <v>90</v>
      </c>
      <c r="C174" s="372"/>
      <c r="D174" s="371" t="s">
        <v>91</v>
      </c>
      <c r="E174" s="372"/>
      <c r="F174" s="371" t="s">
        <v>92</v>
      </c>
      <c r="G174" s="372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749216.59590909083</v>
      </c>
      <c r="C179" s="61">
        <f ca="1">AVERAGE('4'!C225:C235)</f>
        <v>829640.50909090904</v>
      </c>
      <c r="D179" s="61">
        <f ca="1">AVERAGE('4'!E225:E235)</f>
        <v>801256.6192727274</v>
      </c>
      <c r="E179" s="61">
        <f ca="1">AVERAGE('4'!F225:F235)</f>
        <v>870133.16027272725</v>
      </c>
      <c r="F179" s="61">
        <f ca="1">B179-D179</f>
        <v>-52040.023363636574</v>
      </c>
      <c r="G179" s="61">
        <f ca="1">C179-E179</f>
        <v>-40492.651181818219</v>
      </c>
    </row>
    <row r="180" spans="1:7">
      <c r="A180" s="39" t="s">
        <v>53</v>
      </c>
      <c r="B180" s="61">
        <f ca="1">'4'!B236</f>
        <v>799044.44299999997</v>
      </c>
      <c r="C180" s="61">
        <f ca="1">'4'!C236</f>
        <v>877363.22499999963</v>
      </c>
      <c r="D180" s="61">
        <f ca="1">'4'!E236</f>
        <v>1757604.8879999984</v>
      </c>
      <c r="E180" s="61">
        <f ca="1">'4'!F236</f>
        <v>1514563.4039999992</v>
      </c>
      <c r="F180" s="61">
        <f ca="1">B180-D180</f>
        <v>-958560.44499999844</v>
      </c>
      <c r="G180" s="61">
        <f ca="1">C180-E180</f>
        <v>-637200.17899999954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368" t="s">
        <v>104</v>
      </c>
      <c r="B236" s="369"/>
      <c r="C236" s="369"/>
      <c r="D236" s="369"/>
      <c r="E236" s="369"/>
      <c r="F236" s="369"/>
      <c r="G236" s="370"/>
    </row>
    <row r="237" spans="1:18">
      <c r="A237" s="34" t="s">
        <v>38</v>
      </c>
      <c r="B237" s="371" t="s">
        <v>94</v>
      </c>
      <c r="C237" s="372"/>
      <c r="D237" s="371" t="s">
        <v>95</v>
      </c>
      <c r="E237" s="372"/>
      <c r="F237" s="371" t="s">
        <v>96</v>
      </c>
      <c r="G237" s="372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2.7714831645711491</v>
      </c>
      <c r="C242" s="40">
        <f ca="1">C179/J242*100</f>
        <v>2.856941890804217</v>
      </c>
      <c r="D242" s="40">
        <f ca="1">D179/I242*100</f>
        <v>2.9639883085091356</v>
      </c>
      <c r="E242" s="40">
        <f ca="1">E179/J242*100</f>
        <v>2.9963819858374539</v>
      </c>
      <c r="F242" s="40">
        <f ca="1">F179/I242*100</f>
        <v>-0.19250514393798679</v>
      </c>
      <c r="G242" s="40">
        <f ca="1">G179/J242*100</f>
        <v>-0.13944009503323684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2.955805081748804</v>
      </c>
      <c r="C243" s="40">
        <f ca="1">C180/J243*100</f>
        <v>3.0212793655654568</v>
      </c>
      <c r="D243" s="40">
        <f ca="1">D180/I243*100</f>
        <v>6.5016877411122085</v>
      </c>
      <c r="E243" s="40">
        <f ca="1">E180/J243*100</f>
        <v>5.2155356298935125</v>
      </c>
      <c r="F243" s="40">
        <f ca="1">F180/I243*100</f>
        <v>-3.5458826593634045</v>
      </c>
      <c r="G243" s="40">
        <f ca="1">G180/J243*100</f>
        <v>-2.1942562643280557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368" t="s">
        <v>107</v>
      </c>
      <c r="B299" s="369"/>
      <c r="C299" s="369"/>
      <c r="D299" s="369"/>
      <c r="E299" s="369"/>
      <c r="F299" s="369"/>
      <c r="G299" s="370"/>
    </row>
    <row r="300" spans="1:7">
      <c r="A300" s="34" t="s">
        <v>38</v>
      </c>
      <c r="B300" s="371" t="s">
        <v>90</v>
      </c>
      <c r="C300" s="372"/>
      <c r="D300" s="371" t="s">
        <v>91</v>
      </c>
      <c r="E300" s="372"/>
      <c r="F300" s="371" t="s">
        <v>92</v>
      </c>
      <c r="G300" s="372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353066.09527272725</v>
      </c>
      <c r="C305" s="61">
        <f ca="1">AVERAGE('4'!C371:C381)</f>
        <v>388574.72581818182</v>
      </c>
      <c r="D305" s="61">
        <f ca="1">AVERAGE('4'!E371:E381)</f>
        <v>333391.08918181818</v>
      </c>
      <c r="E305" s="61">
        <f ca="1">AVERAGE('4'!F371:F381)</f>
        <v>357583.92981818184</v>
      </c>
      <c r="F305" s="61">
        <f ca="1">B305-D305</f>
        <v>19675.006090909068</v>
      </c>
      <c r="G305" s="61">
        <f ca="1">C305-E305</f>
        <v>30990.795999999973</v>
      </c>
    </row>
    <row r="306" spans="1:7">
      <c r="A306" s="39" t="s">
        <v>53</v>
      </c>
      <c r="B306" s="61">
        <f ca="1">'4'!B382</f>
        <v>355952.14200000046</v>
      </c>
      <c r="C306" s="61">
        <f ca="1">'4'!C382</f>
        <v>374702.53699999955</v>
      </c>
      <c r="D306" s="61">
        <f ca="1">'4'!E382</f>
        <v>320964.42699999968</v>
      </c>
      <c r="E306" s="61">
        <f ca="1">'4'!F382</f>
        <v>378466.3339999998</v>
      </c>
      <c r="F306" s="61">
        <f ca="1">B306-D306</f>
        <v>34987.715000000782</v>
      </c>
      <c r="G306" s="61">
        <f ca="1">C306-E306</f>
        <v>-3763.7970000002533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368" t="s">
        <v>107</v>
      </c>
      <c r="B362" s="369"/>
      <c r="C362" s="369"/>
      <c r="D362" s="369"/>
      <c r="E362" s="369"/>
      <c r="F362" s="369"/>
      <c r="G362" s="370"/>
    </row>
    <row r="363" spans="1:10">
      <c r="A363" s="34" t="s">
        <v>38</v>
      </c>
      <c r="B363" s="371" t="s">
        <v>94</v>
      </c>
      <c r="C363" s="372"/>
      <c r="D363" s="371" t="s">
        <v>95</v>
      </c>
      <c r="E363" s="372"/>
      <c r="F363" s="371" t="s">
        <v>96</v>
      </c>
      <c r="G363" s="372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1.3060532086077403</v>
      </c>
      <c r="C368" s="40">
        <f ca="1">C305/J368*100</f>
        <v>1.3380921010163476</v>
      </c>
      <c r="D368" s="40">
        <f ca="1">D305/I368*100</f>
        <v>1.2332719215386458</v>
      </c>
      <c r="E368" s="40">
        <f ca="1">E305/J368*100</f>
        <v>1.2313725009587448</v>
      </c>
      <c r="F368" s="40">
        <f ca="1">F305/I368*100</f>
        <v>7.278128706909448E-2</v>
      </c>
      <c r="G368" s="40">
        <f ca="1">G305/J368*100</f>
        <v>0.10671960005760267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1.3167291999839028</v>
      </c>
      <c r="C369" s="40">
        <f ca="1">C306/J369*100</f>
        <v>1.2903219681485127</v>
      </c>
      <c r="D369" s="40">
        <f ca="1">D306/I369*100</f>
        <v>1.1873035257279076</v>
      </c>
      <c r="E369" s="40">
        <f ca="1">E306/J369*100</f>
        <v>1.3032829424499803</v>
      </c>
      <c r="F369" s="40">
        <f ca="1">F306/I369*100</f>
        <v>0.12942567425599527</v>
      </c>
      <c r="G369" s="40">
        <f ca="1">G306/J369*100</f>
        <v>-1.2960974301467833E-2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368" t="s">
        <v>108</v>
      </c>
      <c r="B425" s="369"/>
      <c r="C425" s="369"/>
      <c r="D425" s="369"/>
      <c r="E425" s="369"/>
      <c r="F425" s="369"/>
      <c r="G425" s="370"/>
    </row>
    <row r="426" spans="1:7">
      <c r="A426" s="34" t="s">
        <v>38</v>
      </c>
      <c r="B426" s="371" t="s">
        <v>90</v>
      </c>
      <c r="C426" s="372"/>
      <c r="D426" s="371" t="s">
        <v>91</v>
      </c>
      <c r="E426" s="372"/>
      <c r="F426" s="371" t="s">
        <v>92</v>
      </c>
      <c r="G426" s="372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289665.55781818181</v>
      </c>
      <c r="C431" s="61">
        <f ca="1">AVERAGE('4'!C663:C673)</f>
        <v>311622.935</v>
      </c>
      <c r="D431" s="61">
        <f ca="1">AVERAGE('4'!E663:E673)</f>
        <v>285834.68599999999</v>
      </c>
      <c r="E431" s="61">
        <f ca="1">AVERAGE('4'!F663:F673)</f>
        <v>302430.83836363634</v>
      </c>
      <c r="F431" s="61">
        <f ca="1">B431-D431</f>
        <v>3830.8718181818258</v>
      </c>
      <c r="G431" s="61">
        <f ca="1">C431-E431</f>
        <v>9192.0966363636544</v>
      </c>
    </row>
    <row r="432" spans="1:7">
      <c r="A432" s="39" t="s">
        <v>53</v>
      </c>
      <c r="B432" s="61">
        <f ca="1">'4'!B674</f>
        <v>294625.01500000013</v>
      </c>
      <c r="C432" s="61">
        <f ca="1">'4'!C674</f>
        <v>323092.44799999986</v>
      </c>
      <c r="D432" s="61">
        <f ca="1">'4'!E674</f>
        <v>492764.7209999999</v>
      </c>
      <c r="E432" s="61">
        <f ca="1">'4'!F674</f>
        <v>472492.17599999998</v>
      </c>
      <c r="F432" s="61">
        <f ca="1">B432-D432</f>
        <v>-198139.70599999977</v>
      </c>
      <c r="G432" s="61">
        <f ca="1">C432-E432</f>
        <v>-149399.72800000012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368" t="s">
        <v>108</v>
      </c>
      <c r="B488" s="369"/>
      <c r="C488" s="369"/>
      <c r="D488" s="369"/>
      <c r="E488" s="369"/>
      <c r="F488" s="369"/>
      <c r="G488" s="370"/>
    </row>
    <row r="489" spans="1:10">
      <c r="A489" s="34" t="s">
        <v>38</v>
      </c>
      <c r="B489" s="371" t="s">
        <v>94</v>
      </c>
      <c r="C489" s="372"/>
      <c r="D489" s="371" t="s">
        <v>95</v>
      </c>
      <c r="E489" s="372"/>
      <c r="F489" s="371" t="s">
        <v>96</v>
      </c>
      <c r="G489" s="372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1.0715235370288205</v>
      </c>
      <c r="C494" s="40">
        <f ca="1">C431/J494*100</f>
        <v>1.0731016716052193</v>
      </c>
      <c r="D494" s="40">
        <f ca="1">D431/I494*100</f>
        <v>1.0573524724692613</v>
      </c>
      <c r="E494" s="40">
        <f ca="1">E431/J494*100</f>
        <v>1.0414478581077034</v>
      </c>
      <c r="F494" s="40">
        <f ca="1">F431/I494*100</f>
        <v>1.4171064559559327E-2</v>
      </c>
      <c r="G494" s="40">
        <f ca="1">G431/J494*100</f>
        <v>3.1653813497516003E-2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1.0898694361451406</v>
      </c>
      <c r="C495" s="40">
        <f ca="1">C432/J495*100</f>
        <v>1.1125979736755327</v>
      </c>
      <c r="D495" s="40">
        <f ca="1">D432/I495*100</f>
        <v>1.8228228469618821</v>
      </c>
      <c r="E495" s="40">
        <f ca="1">E432/J495*100</f>
        <v>1.6270694064478515</v>
      </c>
      <c r="F495" s="40">
        <f ca="1">F432/I495*100</f>
        <v>-0.73295341081674148</v>
      </c>
      <c r="G495" s="40">
        <f ca="1">G432/J495*100</f>
        <v>-0.51447143277231899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2025-05-18T20:26:40Z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