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355" windowHeight="6675" tabRatio="713"/>
  </bookViews>
  <sheets>
    <sheet name="MoF graphs" sheetId="13" r:id="rId1"/>
    <sheet name="MoF forecasts" sheetId="8" r:id="rId2"/>
    <sheet name="EC forecasts" sheetId="11" r:id="rId3"/>
    <sheet name="Error comparison" sheetId="12" r:id="rId4"/>
    <sheet name="Budget forecasts" sheetId="14" r:id="rId5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"05/17/2017 04:29:48"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9" i="14" l="1"/>
  <c r="K89" i="14" s="1"/>
  <c r="J98" i="14"/>
  <c r="I97" i="14"/>
  <c r="H96" i="14"/>
  <c r="G95" i="14"/>
  <c r="G89" i="14" s="1"/>
  <c r="F94" i="14"/>
  <c r="E93" i="14"/>
  <c r="D92" i="14"/>
  <c r="C91" i="14"/>
  <c r="C89" i="14" s="1"/>
  <c r="B90" i="14"/>
  <c r="P89" i="14"/>
  <c r="O89" i="14"/>
  <c r="N89" i="14"/>
  <c r="M89" i="14"/>
  <c r="L89" i="14"/>
  <c r="J89" i="14"/>
  <c r="I89" i="14"/>
  <c r="H89" i="14"/>
  <c r="F89" i="14"/>
  <c r="E89" i="14"/>
  <c r="D89" i="14"/>
  <c r="B89" i="14"/>
  <c r="F88" i="14"/>
  <c r="K72" i="14"/>
  <c r="J71" i="14"/>
  <c r="I70" i="14"/>
  <c r="I62" i="14" s="1"/>
  <c r="H69" i="14"/>
  <c r="G68" i="14"/>
  <c r="F67" i="14"/>
  <c r="E66" i="14"/>
  <c r="E62" i="14" s="1"/>
  <c r="D65" i="14"/>
  <c r="C64" i="14"/>
  <c r="B63" i="14"/>
  <c r="P62" i="14"/>
  <c r="O62" i="14"/>
  <c r="N62" i="14"/>
  <c r="M62" i="14"/>
  <c r="L62" i="14"/>
  <c r="K62" i="14"/>
  <c r="J62" i="14"/>
  <c r="H62" i="14"/>
  <c r="G62" i="14"/>
  <c r="F62" i="14"/>
  <c r="D62" i="14"/>
  <c r="C62" i="14"/>
  <c r="B62" i="14"/>
  <c r="K39" i="14"/>
  <c r="J38" i="14"/>
  <c r="J29" i="14" s="1"/>
  <c r="I37" i="14"/>
  <c r="H36" i="14"/>
  <c r="G35" i="14"/>
  <c r="F34" i="14"/>
  <c r="F29" i="14" s="1"/>
  <c r="E33" i="14"/>
  <c r="D32" i="14"/>
  <c r="C31" i="14"/>
  <c r="B30" i="14"/>
  <c r="B29" i="14" s="1"/>
  <c r="P29" i="14"/>
  <c r="O29" i="14"/>
  <c r="N29" i="14"/>
  <c r="M29" i="14"/>
  <c r="L29" i="14"/>
  <c r="K29" i="14"/>
  <c r="I29" i="14"/>
  <c r="H29" i="14"/>
  <c r="G29" i="14"/>
  <c r="E29" i="14"/>
  <c r="D29" i="14"/>
  <c r="C29" i="14"/>
  <c r="K14" i="14"/>
  <c r="K4" i="14" s="1"/>
  <c r="J13" i="14"/>
  <c r="I12" i="14"/>
  <c r="H11" i="14"/>
  <c r="G10" i="14"/>
  <c r="G4" i="14" s="1"/>
  <c r="F9" i="14"/>
  <c r="E8" i="14"/>
  <c r="D7" i="14"/>
  <c r="C6" i="14"/>
  <c r="C4" i="14" s="1"/>
  <c r="B5" i="14"/>
  <c r="P4" i="14"/>
  <c r="O4" i="14"/>
  <c r="N4" i="14"/>
  <c r="M4" i="14"/>
  <c r="L4" i="14"/>
  <c r="J4" i="14"/>
  <c r="I4" i="14"/>
  <c r="H4" i="14"/>
  <c r="F4" i="14"/>
  <c r="E4" i="14"/>
  <c r="D4" i="14"/>
  <c r="B4" i="14"/>
  <c r="K3" i="14"/>
  <c r="J53" i="13" l="1"/>
  <c r="I53" i="13"/>
  <c r="W17" i="11" l="1"/>
  <c r="AG17" i="11" s="1"/>
  <c r="W16" i="11"/>
  <c r="AG16" i="11" s="1"/>
  <c r="W14" i="11"/>
  <c r="AG14" i="11" s="1"/>
  <c r="W13" i="11"/>
  <c r="AG13" i="11" s="1"/>
  <c r="W12" i="11"/>
  <c r="W10" i="11"/>
  <c r="AG10" i="11" s="1"/>
  <c r="W9" i="11"/>
  <c r="W8" i="11"/>
  <c r="AG8" i="11" s="1"/>
  <c r="W7" i="11"/>
  <c r="AG7" i="11" s="1"/>
  <c r="V17" i="11"/>
  <c r="AF17" i="11" s="1"/>
  <c r="V15" i="11"/>
  <c r="AF15" i="11" s="1"/>
  <c r="V13" i="11"/>
  <c r="V12" i="11"/>
  <c r="AF12" i="11" s="1"/>
  <c r="V10" i="11"/>
  <c r="AF10" i="11" s="1"/>
  <c r="V9" i="11"/>
  <c r="AF9" i="11" s="1"/>
  <c r="V8" i="11"/>
  <c r="V11" i="11"/>
  <c r="V7" i="11"/>
  <c r="AF7" i="11" s="1"/>
  <c r="V6" i="11"/>
  <c r="AF6" i="11" s="1"/>
  <c r="U17" i="11"/>
  <c r="U16" i="11"/>
  <c r="AE16" i="11" s="1"/>
  <c r="U15" i="11"/>
  <c r="AE15" i="11" s="1"/>
  <c r="U14" i="11"/>
  <c r="U12" i="11"/>
  <c r="U11" i="11"/>
  <c r="AE11" i="11" s="1"/>
  <c r="U10" i="11"/>
  <c r="U8" i="11"/>
  <c r="U7" i="11"/>
  <c r="Z7" i="11" s="1"/>
  <c r="U6" i="11"/>
  <c r="Z6" i="11" s="1"/>
  <c r="T17" i="11"/>
  <c r="AD17" i="11" s="1"/>
  <c r="T16" i="11"/>
  <c r="AD16" i="11" s="1"/>
  <c r="T15" i="11"/>
  <c r="T14" i="11"/>
  <c r="AD14" i="11" s="1"/>
  <c r="T13" i="11"/>
  <c r="T12" i="11"/>
  <c r="Y12" i="11" s="1"/>
  <c r="T11" i="11"/>
  <c r="T10" i="11"/>
  <c r="AD10" i="11" s="1"/>
  <c r="T9" i="11"/>
  <c r="T8" i="11"/>
  <c r="AD8" i="11" s="1"/>
  <c r="T7" i="11"/>
  <c r="T6" i="11"/>
  <c r="AD6" i="11" s="1"/>
  <c r="T5" i="11"/>
  <c r="Y5" i="11" s="1"/>
  <c r="S9" i="11"/>
  <c r="S8" i="11"/>
  <c r="AC8" i="11" s="1"/>
  <c r="S7" i="11"/>
  <c r="AC7" i="11" s="1"/>
  <c r="S6" i="11"/>
  <c r="X6" i="11" s="1"/>
  <c r="S5" i="11"/>
  <c r="X5" i="11" s="1"/>
  <c r="AE17" i="11"/>
  <c r="Y17" i="11"/>
  <c r="Z17" i="11"/>
  <c r="AA17" i="11"/>
  <c r="AB17" i="11"/>
  <c r="W15" i="11"/>
  <c r="W11" i="11"/>
  <c r="AG11" i="11" s="1"/>
  <c r="V16" i="11"/>
  <c r="AF16" i="11" s="1"/>
  <c r="V14" i="11"/>
  <c r="AF14" i="11" s="1"/>
  <c r="U13" i="11"/>
  <c r="AE13" i="11" s="1"/>
  <c r="U9" i="11"/>
  <c r="Z9" i="11" s="1"/>
  <c r="Y16" i="11"/>
  <c r="T19" i="11"/>
  <c r="S17" i="11"/>
  <c r="AC17" i="11" s="1"/>
  <c r="S16" i="11"/>
  <c r="X16" i="11" s="1"/>
  <c r="S15" i="11"/>
  <c r="AC15" i="11" s="1"/>
  <c r="S14" i="11"/>
  <c r="S13" i="11"/>
  <c r="AC13" i="11" s="1"/>
  <c r="S12" i="11"/>
  <c r="X12" i="11" s="1"/>
  <c r="S11" i="11"/>
  <c r="S10" i="11"/>
  <c r="S19" i="11" s="1"/>
  <c r="AC16" i="11"/>
  <c r="AA16" i="11"/>
  <c r="AB16" i="11"/>
  <c r="V19" i="11"/>
  <c r="U3" i="12"/>
  <c r="R3" i="12"/>
  <c r="O3" i="12"/>
  <c r="Z15" i="11"/>
  <c r="Z13" i="11"/>
  <c r="AE12" i="11"/>
  <c r="Z11" i="11"/>
  <c r="AE10" i="11"/>
  <c r="AE8" i="11"/>
  <c r="AE14" i="11"/>
  <c r="Z14" i="11"/>
  <c r="Z8" i="11"/>
  <c r="Z12" i="11"/>
  <c r="X17" i="11" l="1"/>
  <c r="X7" i="11"/>
  <c r="X13" i="11"/>
  <c r="Y6" i="11"/>
  <c r="Y14" i="11"/>
  <c r="AC5" i="11"/>
  <c r="AC10" i="11"/>
  <c r="AD5" i="11"/>
  <c r="AD12" i="11"/>
  <c r="AE6" i="11"/>
  <c r="X8" i="11"/>
  <c r="X15" i="11"/>
  <c r="Y8" i="11"/>
  <c r="AC6" i="11"/>
  <c r="AC12" i="11"/>
  <c r="AE7" i="11"/>
  <c r="X10" i="11"/>
  <c r="Y10" i="11"/>
  <c r="AE9" i="11"/>
  <c r="U19" i="11"/>
  <c r="C3" i="12" s="1"/>
  <c r="N3" i="12" s="1"/>
  <c r="Z16" i="11"/>
  <c r="W19" i="11"/>
  <c r="Z10" i="11"/>
  <c r="AE19" i="11" l="1"/>
  <c r="I3" i="12" s="1"/>
  <c r="T3" i="12" s="1"/>
  <c r="Z19" i="11"/>
  <c r="F3" i="12" s="1"/>
  <c r="Q3" i="12" s="1"/>
  <c r="Y15" i="11"/>
  <c r="Y13" i="11"/>
  <c r="AD11" i="11"/>
  <c r="AD9" i="11"/>
  <c r="AD7" i="11"/>
  <c r="AZ64" i="8"/>
  <c r="BC64" i="8" s="1"/>
  <c r="X11" i="11"/>
  <c r="AB15" i="11"/>
  <c r="AA15" i="11"/>
  <c r="AB14" i="11"/>
  <c r="AC14" i="11"/>
  <c r="AF13" i="11"/>
  <c r="AG12" i="11"/>
  <c r="AA12" i="11"/>
  <c r="AB11" i="11"/>
  <c r="AA11" i="11"/>
  <c r="AB10" i="11"/>
  <c r="AA10" i="11"/>
  <c r="AB9" i="11"/>
  <c r="AA9" i="11"/>
  <c r="AC9" i="11"/>
  <c r="AB8" i="11"/>
  <c r="AA8" i="11"/>
  <c r="C4" i="12" l="1"/>
  <c r="N4" i="12" s="1"/>
  <c r="B3" i="12"/>
  <c r="M3" i="12" s="1"/>
  <c r="B4" i="12"/>
  <c r="M4" i="12" s="1"/>
  <c r="Y9" i="11"/>
  <c r="Y11" i="11"/>
  <c r="AD15" i="11"/>
  <c r="Y7" i="11"/>
  <c r="Y19" i="11" s="1"/>
  <c r="AD13" i="11"/>
  <c r="AD19" i="11" s="1"/>
  <c r="AA7" i="11"/>
  <c r="AA6" i="11"/>
  <c r="AB13" i="11"/>
  <c r="X14" i="11"/>
  <c r="AF8" i="11"/>
  <c r="AC11" i="11"/>
  <c r="AC19" i="11" s="1"/>
  <c r="AB7" i="11"/>
  <c r="X9" i="11"/>
  <c r="X19" i="11" s="1"/>
  <c r="AF11" i="11"/>
  <c r="AB12" i="11"/>
  <c r="AA14" i="11"/>
  <c r="AA13" i="11"/>
  <c r="AG9" i="11"/>
  <c r="AG15" i="11"/>
  <c r="D4" i="12"/>
  <c r="O4" i="12" s="1"/>
  <c r="AG19" i="11" l="1"/>
  <c r="AF19" i="11"/>
  <c r="AB19" i="11"/>
  <c r="AA19" i="11"/>
  <c r="J4" i="12"/>
  <c r="U4" i="12" s="1"/>
  <c r="I4" i="12"/>
  <c r="T4" i="12" s="1"/>
  <c r="H4" i="12"/>
  <c r="S4" i="12" s="1"/>
  <c r="H3" i="12"/>
  <c r="S3" i="12" s="1"/>
  <c r="E4" i="12"/>
  <c r="P4" i="12" s="1"/>
  <c r="E3" i="12"/>
  <c r="P3" i="12" s="1"/>
  <c r="G4" i="12"/>
  <c r="R4" i="12" s="1"/>
  <c r="F4" i="12"/>
  <c r="Q4" i="12" s="1"/>
  <c r="X7" i="8" l="1"/>
  <c r="X6" i="8"/>
  <c r="X5" i="8"/>
  <c r="X4" i="8"/>
  <c r="T7" i="8"/>
  <c r="T6" i="8"/>
  <c r="T5" i="8"/>
  <c r="T4" i="8"/>
  <c r="AB12" i="8"/>
  <c r="AB11" i="8"/>
  <c r="AB10" i="8"/>
  <c r="AB9" i="8"/>
  <c r="X12" i="8"/>
  <c r="X11" i="8"/>
  <c r="X10" i="8"/>
  <c r="X9" i="8"/>
  <c r="D7" i="8"/>
  <c r="D6" i="8"/>
  <c r="D5" i="8"/>
  <c r="D4" i="8"/>
  <c r="H12" i="8"/>
  <c r="H11" i="8"/>
  <c r="H10" i="8"/>
  <c r="H9" i="8"/>
  <c r="P7" i="8"/>
  <c r="P6" i="8"/>
  <c r="P5" i="8"/>
  <c r="P4" i="8"/>
  <c r="T12" i="8"/>
  <c r="T11" i="8"/>
  <c r="T10" i="8"/>
  <c r="T9" i="8"/>
  <c r="L7" i="8"/>
  <c r="L6" i="8"/>
  <c r="L5" i="8"/>
  <c r="L4" i="8"/>
  <c r="P12" i="8"/>
  <c r="P11" i="8"/>
  <c r="P10" i="8"/>
  <c r="P9" i="8"/>
  <c r="H7" i="8"/>
  <c r="H6" i="8"/>
  <c r="H5" i="8"/>
  <c r="BC5" i="8" s="1"/>
  <c r="H4" i="8"/>
  <c r="BC4" i="8" s="1"/>
  <c r="L12" i="8"/>
  <c r="L11" i="8"/>
  <c r="L10" i="8"/>
  <c r="L9" i="8"/>
  <c r="L17" i="8"/>
  <c r="L16" i="8"/>
  <c r="L15" i="8"/>
  <c r="L14" i="8"/>
  <c r="X32" i="8"/>
  <c r="X31" i="8"/>
  <c r="X30" i="8"/>
  <c r="X29" i="8"/>
  <c r="AF27" i="8"/>
  <c r="AF26" i="8"/>
  <c r="AF25" i="8"/>
  <c r="AF24" i="8"/>
  <c r="AB27" i="8"/>
  <c r="AB26" i="8"/>
  <c r="AB25" i="8"/>
  <c r="AB24" i="8"/>
  <c r="X27" i="8"/>
  <c r="X26" i="8"/>
  <c r="X25" i="8"/>
  <c r="X24" i="8"/>
  <c r="T27" i="8"/>
  <c r="T26" i="8"/>
  <c r="T25" i="8"/>
  <c r="T24" i="8"/>
  <c r="AB22" i="8"/>
  <c r="AB21" i="8"/>
  <c r="AB20" i="8"/>
  <c r="AB19" i="8"/>
  <c r="X22" i="8"/>
  <c r="X21" i="8"/>
  <c r="X20" i="8"/>
  <c r="X19" i="8"/>
  <c r="T22" i="8"/>
  <c r="T21" i="8"/>
  <c r="T20" i="8"/>
  <c r="T19" i="8"/>
  <c r="P22" i="8"/>
  <c r="P21" i="8"/>
  <c r="P20" i="8"/>
  <c r="P19" i="8"/>
  <c r="X17" i="8"/>
  <c r="X16" i="8"/>
  <c r="X15" i="8"/>
  <c r="X14" i="8"/>
  <c r="T17" i="8"/>
  <c r="T16" i="8"/>
  <c r="T15" i="8"/>
  <c r="BC15" i="8" s="1"/>
  <c r="T14" i="8"/>
  <c r="BC14" i="8" s="1"/>
  <c r="P15" i="8"/>
  <c r="P16" i="8"/>
  <c r="P17" i="8"/>
  <c r="P14" i="8"/>
  <c r="AZ67" i="8"/>
  <c r="BC67" i="8" s="1"/>
  <c r="AZ66" i="8"/>
  <c r="BC66" i="8" s="1"/>
  <c r="AZ65" i="8"/>
  <c r="BC65" i="8" s="1"/>
  <c r="AZ62" i="8"/>
  <c r="BC62" i="8" s="1"/>
  <c r="AV62" i="8"/>
  <c r="AZ61" i="8"/>
  <c r="AV61" i="8"/>
  <c r="AZ60" i="8"/>
  <c r="BC60" i="8" s="1"/>
  <c r="AV60" i="8"/>
  <c r="AZ59" i="8"/>
  <c r="AV59" i="8"/>
  <c r="AZ57" i="8"/>
  <c r="BC57" i="8" s="1"/>
  <c r="AV57" i="8"/>
  <c r="AR57" i="8"/>
  <c r="AZ56" i="8"/>
  <c r="AV56" i="8"/>
  <c r="AR56" i="8"/>
  <c r="AZ55" i="8"/>
  <c r="AV55" i="8"/>
  <c r="AR55" i="8"/>
  <c r="AZ54" i="8"/>
  <c r="AV54" i="8"/>
  <c r="AR54" i="8"/>
  <c r="AZ52" i="8"/>
  <c r="BC52" i="8" s="1"/>
  <c r="AV52" i="8"/>
  <c r="AR52" i="8"/>
  <c r="AN52" i="8"/>
  <c r="AZ51" i="8"/>
  <c r="BC51" i="8" s="1"/>
  <c r="AV51" i="8"/>
  <c r="AR51" i="8"/>
  <c r="AN51" i="8"/>
  <c r="AZ50" i="8"/>
  <c r="BC50" i="8" s="1"/>
  <c r="AV50" i="8"/>
  <c r="AR50" i="8"/>
  <c r="AN50" i="8"/>
  <c r="AZ49" i="8"/>
  <c r="BC49" i="8" s="1"/>
  <c r="AV49" i="8"/>
  <c r="AR49" i="8"/>
  <c r="AN49" i="8"/>
  <c r="AV47" i="8"/>
  <c r="AR47" i="8"/>
  <c r="AN47" i="8"/>
  <c r="AJ47" i="8"/>
  <c r="AV46" i="8"/>
  <c r="AR46" i="8"/>
  <c r="AN46" i="8"/>
  <c r="AJ46" i="8"/>
  <c r="AV45" i="8"/>
  <c r="AR45" i="8"/>
  <c r="AN45" i="8"/>
  <c r="AJ45" i="8"/>
  <c r="AV44" i="8"/>
  <c r="AR44" i="8"/>
  <c r="AN44" i="8"/>
  <c r="AJ44" i="8"/>
  <c r="AR42" i="8"/>
  <c r="AN42" i="8"/>
  <c r="AJ42" i="8"/>
  <c r="AF42" i="8"/>
  <c r="AR41" i="8"/>
  <c r="AN41" i="8"/>
  <c r="AJ41" i="8"/>
  <c r="AF41" i="8"/>
  <c r="AR40" i="8"/>
  <c r="AN40" i="8"/>
  <c r="AJ40" i="8"/>
  <c r="AF40" i="8"/>
  <c r="AR39" i="8"/>
  <c r="AN39" i="8"/>
  <c r="AJ39" i="8"/>
  <c r="AF39" i="8"/>
  <c r="AR37" i="8"/>
  <c r="AN37" i="8"/>
  <c r="AJ37" i="8"/>
  <c r="AF37" i="8"/>
  <c r="AB37" i="8"/>
  <c r="AR36" i="8"/>
  <c r="AN36" i="8"/>
  <c r="AJ36" i="8"/>
  <c r="AE36" i="8"/>
  <c r="AF36" i="8" s="1"/>
  <c r="BC36" i="8" s="1"/>
  <c r="AA36" i="8"/>
  <c r="AB36" i="8" s="1"/>
  <c r="AR35" i="8"/>
  <c r="AN35" i="8"/>
  <c r="AJ35" i="8"/>
  <c r="AF35" i="8"/>
  <c r="AB35" i="8"/>
  <c r="AR34" i="8"/>
  <c r="AN34" i="8"/>
  <c r="AJ34" i="8"/>
  <c r="AF34" i="8"/>
  <c r="AB34" i="8"/>
  <c r="AJ32" i="8"/>
  <c r="AF32" i="8"/>
  <c r="AB32" i="8"/>
  <c r="AJ31" i="8"/>
  <c r="AF31" i="8"/>
  <c r="BC31" i="8" s="1"/>
  <c r="AB31" i="8"/>
  <c r="AJ30" i="8"/>
  <c r="AF30" i="8"/>
  <c r="AB30" i="8"/>
  <c r="AJ29" i="8"/>
  <c r="AF29" i="8"/>
  <c r="AB29" i="8"/>
  <c r="BB19" i="8" l="1"/>
  <c r="BC19" i="8"/>
  <c r="BC24" i="8"/>
  <c r="BC37" i="8"/>
  <c r="BC44" i="8"/>
  <c r="BC45" i="8"/>
  <c r="BC46" i="8"/>
  <c r="BC47" i="8"/>
  <c r="BC56" i="8"/>
  <c r="BB20" i="8"/>
  <c r="BC20" i="8"/>
  <c r="BC25" i="8"/>
  <c r="BC10" i="8"/>
  <c r="BC30" i="8"/>
  <c r="BC29" i="8"/>
  <c r="BC34" i="8"/>
  <c r="BC39" i="8"/>
  <c r="BC40" i="8"/>
  <c r="BC41" i="8"/>
  <c r="BC42" i="8"/>
  <c r="BC55" i="8"/>
  <c r="BC59" i="8"/>
  <c r="BC61" i="8"/>
  <c r="BC16" i="8"/>
  <c r="BB21" i="8"/>
  <c r="BC21" i="8"/>
  <c r="BC26" i="8"/>
  <c r="BB6" i="8"/>
  <c r="BC6" i="8"/>
  <c r="BC11" i="8"/>
  <c r="BC9" i="8"/>
  <c r="BC32" i="8"/>
  <c r="BC35" i="8"/>
  <c r="BC54" i="8"/>
  <c r="BC17" i="8"/>
  <c r="BB22" i="8"/>
  <c r="BC22" i="8"/>
  <c r="BC27" i="8"/>
  <c r="BB7" i="8"/>
  <c r="BC7" i="8"/>
  <c r="BC12" i="8"/>
  <c r="AZ71" i="8"/>
  <c r="AY71" i="8"/>
  <c r="AX71" i="8"/>
  <c r="D5" i="12" s="1"/>
  <c r="O5" i="12" s="1"/>
  <c r="BD70" i="8"/>
  <c r="BB70" i="8"/>
  <c r="BC70" i="8"/>
  <c r="BB71" i="8"/>
  <c r="BD71" i="8"/>
  <c r="BC71" i="8"/>
  <c r="BD72" i="8"/>
  <c r="BB72" i="8"/>
  <c r="BC72" i="8"/>
  <c r="BC73" i="8"/>
  <c r="BB73" i="8"/>
  <c r="BD73" i="8"/>
  <c r="AV71" i="8"/>
  <c r="I5" i="12" s="1"/>
  <c r="T5" i="12" s="1"/>
  <c r="AU71" i="8"/>
  <c r="AT71" i="8"/>
  <c r="AQ71" i="8"/>
  <c r="E5" i="12" s="1"/>
  <c r="P5" i="12" s="1"/>
  <c r="AP71" i="8"/>
  <c r="B5" i="12" s="1"/>
  <c r="M5" i="12" s="1"/>
  <c r="AR71" i="8"/>
  <c r="H5" i="12" s="1"/>
  <c r="S5" i="12" s="1"/>
  <c r="AT70" i="8"/>
  <c r="AV70" i="8"/>
  <c r="AU70" i="8"/>
  <c r="AY70" i="8"/>
  <c r="AZ70" i="8"/>
  <c r="AX70" i="8"/>
  <c r="AZ73" i="8"/>
  <c r="AY73" i="8"/>
  <c r="AX73" i="8"/>
  <c r="C5" i="12"/>
  <c r="N5" i="12" s="1"/>
  <c r="AT73" i="8"/>
  <c r="AV73" i="8"/>
  <c r="AU73" i="8"/>
  <c r="AV72" i="8"/>
  <c r="AU72" i="8"/>
  <c r="AT72" i="8"/>
  <c r="AZ72" i="8"/>
  <c r="AY72" i="8"/>
  <c r="AX72" i="8"/>
  <c r="AQ70" i="8"/>
  <c r="AR70" i="8"/>
  <c r="AP70" i="8"/>
  <c r="BB5" i="8"/>
  <c r="BB15" i="8"/>
  <c r="F5" i="12"/>
  <c r="Q5" i="12" s="1"/>
  <c r="AR73" i="8"/>
  <c r="AQ73" i="8"/>
  <c r="BB27" i="8"/>
  <c r="BD9" i="8"/>
  <c r="BB4" i="8"/>
  <c r="AR72" i="8"/>
  <c r="AQ72" i="8"/>
  <c r="BD30" i="8"/>
  <c r="BB34" i="8"/>
  <c r="J5" i="12"/>
  <c r="U5" i="12" s="1"/>
  <c r="G5" i="12"/>
  <c r="R5" i="12" s="1"/>
  <c r="BD15" i="8"/>
  <c r="BB17" i="8"/>
  <c r="BB25" i="8"/>
  <c r="BB61" i="8"/>
  <c r="BB14" i="8"/>
  <c r="BB24" i="8"/>
  <c r="BB29" i="8"/>
  <c r="BD32" i="8"/>
  <c r="BD60" i="8"/>
  <c r="BD20" i="8"/>
  <c r="BB10" i="8"/>
  <c r="BD4" i="8"/>
  <c r="BB9" i="8"/>
  <c r="BB16" i="8"/>
  <c r="BB26" i="8"/>
  <c r="BD25" i="8"/>
  <c r="BB11" i="8"/>
  <c r="BB37" i="8"/>
  <c r="BD39" i="8"/>
  <c r="BB44" i="8"/>
  <c r="BB45" i="8"/>
  <c r="BB46" i="8"/>
  <c r="BB47" i="8"/>
  <c r="BD49" i="8"/>
  <c r="BB50" i="8"/>
  <c r="BD51" i="8"/>
  <c r="BB12" i="8"/>
  <c r="BB40" i="8"/>
  <c r="BB41" i="8"/>
  <c r="BD44" i="8"/>
  <c r="BD46" i="8"/>
  <c r="BD47" i="8"/>
  <c r="BB52" i="8"/>
  <c r="BB54" i="8"/>
  <c r="BD59" i="8"/>
  <c r="BD61" i="8"/>
  <c r="BD24" i="8"/>
  <c r="BD19" i="8"/>
  <c r="BD14" i="8"/>
  <c r="BD12" i="8"/>
  <c r="BD7" i="8"/>
  <c r="AP72" i="8"/>
  <c r="BD34" i="8"/>
  <c r="BD41" i="8"/>
  <c r="BD42" i="8"/>
  <c r="BD27" i="8"/>
  <c r="BD22" i="8"/>
  <c r="BD17" i="8"/>
  <c r="BD11" i="8"/>
  <c r="BD6" i="8"/>
  <c r="AP73" i="8"/>
  <c r="BB35" i="8"/>
  <c r="BB56" i="8"/>
  <c r="BB60" i="8"/>
  <c r="BD26" i="8"/>
  <c r="BD21" i="8"/>
  <c r="BD16" i="8"/>
  <c r="BD10" i="8"/>
  <c r="BD5" i="8"/>
  <c r="BD29" i="8"/>
  <c r="BB36" i="8"/>
  <c r="BB32" i="8"/>
  <c r="BB31" i="8"/>
  <c r="BD31" i="8"/>
  <c r="BD35" i="8"/>
  <c r="BB30" i="8"/>
  <c r="BB39" i="8"/>
  <c r="BD40" i="8"/>
  <c r="BD54" i="8"/>
  <c r="BD56" i="8"/>
  <c r="BB64" i="8"/>
  <c r="BB66" i="8"/>
  <c r="BD36" i="8"/>
  <c r="BD37" i="8"/>
  <c r="BB51" i="8"/>
  <c r="BD52" i="8"/>
  <c r="BD55" i="8"/>
  <c r="BD57" i="8"/>
  <c r="BB59" i="8"/>
  <c r="BD62" i="8"/>
  <c r="BD64" i="8"/>
  <c r="BD65" i="8"/>
  <c r="BD66" i="8"/>
  <c r="BD67" i="8"/>
  <c r="BD45" i="8"/>
  <c r="BB49" i="8"/>
  <c r="BD50" i="8"/>
  <c r="BB42" i="8"/>
  <c r="BB55" i="8"/>
  <c r="BB57" i="8"/>
  <c r="BB62" i="8"/>
  <c r="BB65" i="8"/>
  <c r="BB67" i="8"/>
</calcChain>
</file>

<file path=xl/sharedStrings.xml><?xml version="1.0" encoding="utf-8"?>
<sst xmlns="http://schemas.openxmlformats.org/spreadsheetml/2006/main" count="588" uniqueCount="184">
  <si>
    <t>Nominal GDP growth</t>
  </si>
  <si>
    <t>GDP deflator</t>
  </si>
  <si>
    <t>2013A</t>
  </si>
  <si>
    <t>2013F</t>
  </si>
  <si>
    <t>Diff.</t>
  </si>
  <si>
    <t>2014A</t>
  </si>
  <si>
    <t>2014F</t>
  </si>
  <si>
    <t>2015A</t>
  </si>
  <si>
    <t>2015F</t>
  </si>
  <si>
    <t>2016A</t>
  </si>
  <si>
    <t>2016F</t>
  </si>
  <si>
    <t>Root Mean Squared Error</t>
  </si>
  <si>
    <t>Mean Absolute Error</t>
  </si>
  <si>
    <t>Underestimated</t>
  </si>
  <si>
    <t>A - actual
F - forecasted</t>
  </si>
  <si>
    <t>Real GDP growth</t>
  </si>
  <si>
    <t>Inflation (cons. price index)</t>
  </si>
  <si>
    <t>Forecasted in 2013 (Budget explanations 2014)</t>
  </si>
  <si>
    <t>Forecasted in 2014 (Budget explanations 2015)</t>
  </si>
  <si>
    <t>Forecasted in 2015 (Budget explanations 2016)</t>
  </si>
  <si>
    <t>Forecasted in 2016 (Budget explanations 2017)</t>
  </si>
  <si>
    <t>2012A</t>
  </si>
  <si>
    <t>2012F</t>
  </si>
  <si>
    <t>Forecasted in 2012 (Budget explanations 2013)</t>
  </si>
  <si>
    <t>2011A</t>
  </si>
  <si>
    <t>2011F</t>
  </si>
  <si>
    <r>
      <t>GDP deflator</t>
    </r>
    <r>
      <rPr>
        <i/>
        <sz val="10"/>
        <rFont val="Arial Narrow"/>
        <family val="2"/>
        <charset val="186"/>
      </rPr>
      <t xml:space="preserve"> [difference]</t>
    </r>
  </si>
  <si>
    <t>Forecasted in 2011 (Budget explanations 2012)</t>
  </si>
  <si>
    <t>2010A</t>
  </si>
  <si>
    <t>2010F</t>
  </si>
  <si>
    <t>Forecasted in 2010 (Budget explanations 2011)</t>
  </si>
  <si>
    <t>Forecasted in 2009 (Budget explanations 2010)</t>
  </si>
  <si>
    <t>Current year</t>
  </si>
  <si>
    <t>2010</t>
  </si>
  <si>
    <t>2011</t>
  </si>
  <si>
    <t>2012</t>
  </si>
  <si>
    <t>2013</t>
  </si>
  <si>
    <t>2014</t>
  </si>
  <si>
    <t>2015</t>
  </si>
  <si>
    <t>2016</t>
  </si>
  <si>
    <t>2017</t>
  </si>
  <si>
    <t>Forecasted in 2008 (Budget explanations 2009)</t>
  </si>
  <si>
    <t>Forecasted in 2007 (Budget explanations 2008)</t>
  </si>
  <si>
    <t>Forecasted in 2006 (Budget explanations 2007)</t>
  </si>
  <si>
    <t>2009A</t>
  </si>
  <si>
    <t>2009F</t>
  </si>
  <si>
    <t>2008A</t>
  </si>
  <si>
    <t>2008F</t>
  </si>
  <si>
    <t>2007A</t>
  </si>
  <si>
    <t>2007F</t>
  </si>
  <si>
    <t>2009</t>
  </si>
  <si>
    <t>2007</t>
  </si>
  <si>
    <t>2008</t>
  </si>
  <si>
    <t>Forecasted in 2005 (Budget explanations 2006)</t>
  </si>
  <si>
    <t>Forecasted in 2004 (Budget explanations 2005)</t>
  </si>
  <si>
    <t>2006A</t>
  </si>
  <si>
    <t>2006F</t>
  </si>
  <si>
    <t>2005A</t>
  </si>
  <si>
    <t>2005F</t>
  </si>
  <si>
    <t>2004A</t>
  </si>
  <si>
    <t>2004F</t>
  </si>
  <si>
    <t>2004</t>
  </si>
  <si>
    <t>2005</t>
  </si>
  <si>
    <t>2006</t>
  </si>
  <si>
    <t>S 2004</t>
  </si>
  <si>
    <t>A 2004</t>
  </si>
  <si>
    <t>S 2005</t>
  </si>
  <si>
    <t>A 2005</t>
  </si>
  <si>
    <t>S 2006</t>
  </si>
  <si>
    <t>A 2006</t>
  </si>
  <si>
    <t>S 2007</t>
  </si>
  <si>
    <t>A 2007</t>
  </si>
  <si>
    <t>S 2008</t>
  </si>
  <si>
    <t>A 2008</t>
  </si>
  <si>
    <t>S 2009</t>
  </si>
  <si>
    <t>A 2009</t>
  </si>
  <si>
    <t>S 2010</t>
  </si>
  <si>
    <t>A 2010</t>
  </si>
  <si>
    <t>S 2011</t>
  </si>
  <si>
    <t>A 2011</t>
  </si>
  <si>
    <t>S 2012</t>
  </si>
  <si>
    <t>A 2012</t>
  </si>
  <si>
    <t>S 2013</t>
  </si>
  <si>
    <t>A 2013</t>
  </si>
  <si>
    <t>S 2014</t>
  </si>
  <si>
    <t>A 2014</t>
  </si>
  <si>
    <t>S 2015</t>
  </si>
  <si>
    <t>A 2015</t>
  </si>
  <si>
    <t>mean error</t>
  </si>
  <si>
    <t>mean absolute error</t>
  </si>
  <si>
    <t>root mean squared error</t>
  </si>
  <si>
    <t>Eurostat 05.01.2018.</t>
  </si>
  <si>
    <t>ESA 2010</t>
  </si>
  <si>
    <t>ESA 95</t>
  </si>
  <si>
    <t>Real GDP growth (Actual, ESA2010)</t>
  </si>
  <si>
    <t>Real GDP growth (Actual, ESA95)</t>
  </si>
  <si>
    <t>Nominal GDP growth (Actual, ESA2010)</t>
  </si>
  <si>
    <t>Nominal GDP growth (Actual, ESA95)</t>
  </si>
  <si>
    <t>GDP deflator (Actual, ESA2010)</t>
  </si>
  <si>
    <t>Mean Error</t>
  </si>
  <si>
    <t>Nominal GDP growth (Actual, FM budget)</t>
  </si>
  <si>
    <t>Real GDP growth (Actual, FM budget)</t>
  </si>
  <si>
    <t>GDP deflator (Actual, FM budget)</t>
  </si>
  <si>
    <t>GDP deflator (Actual, ESA95)</t>
  </si>
  <si>
    <t>CY (autumn)</t>
  </si>
  <si>
    <t>YA (spring)</t>
  </si>
  <si>
    <t>CY (spring)</t>
  </si>
  <si>
    <t>YA (autumn)</t>
  </si>
  <si>
    <t>2YA (autumn)</t>
  </si>
  <si>
    <t>EC (autumn)</t>
  </si>
  <si>
    <t>EC (spring)</t>
  </si>
  <si>
    <t>N/A</t>
  </si>
  <si>
    <t>Report: S-Spring &amp; A-Autumn</t>
  </si>
  <si>
    <t>S 2016</t>
  </si>
  <si>
    <t>A 2016</t>
  </si>
  <si>
    <t>S 2017</t>
  </si>
  <si>
    <t>A 2017</t>
  </si>
  <si>
    <t>MoF (budget)</t>
  </si>
  <si>
    <t>Mean error</t>
  </si>
  <si>
    <t>Mean absolute error</t>
  </si>
  <si>
    <t>Root mean squared error</t>
  </si>
  <si>
    <t>Vidējā kļūda</t>
  </si>
  <si>
    <t>Vidējā absolūtā kļūda</t>
  </si>
  <si>
    <t>Vidējā kvadrātiskā kļūda (kvadrātsakne)</t>
  </si>
  <si>
    <t>Tekošais gads</t>
  </si>
  <si>
    <t>EK (rudens)</t>
  </si>
  <si>
    <t>EK (pavasaris)</t>
  </si>
  <si>
    <t>Current Year</t>
  </si>
  <si>
    <t>First Available estimate (realisations for the spring forecasts)</t>
  </si>
  <si>
    <t>First Settled estimate (realisation for the autumn forecast)</t>
  </si>
  <si>
    <t>FM (budžets)</t>
  </si>
  <si>
    <t>Inflation (cons. price index), Actual data</t>
  </si>
  <si>
    <t>2005 - Budget expl. 2006</t>
  </si>
  <si>
    <t>2006 - Budget expl. 2007</t>
  </si>
  <si>
    <t>2007 - Budget expl. 2008</t>
  </si>
  <si>
    <t>2008 - Budget expl. 2009</t>
  </si>
  <si>
    <t>2009 - Budget expl. 2010</t>
  </si>
  <si>
    <t>2010 - Budget expl. 2011</t>
  </si>
  <si>
    <t>2011 - Budget expl. 2012</t>
  </si>
  <si>
    <t>2012 - Budget expl. 2013</t>
  </si>
  <si>
    <t>2013 - Budget expl. 2014</t>
  </si>
  <si>
    <t>2014 - Budget expl. 2015</t>
  </si>
  <si>
    <t>2015 - Budget expl. 2016</t>
  </si>
  <si>
    <t>2016 - Budget expl. 2017</t>
  </si>
  <si>
    <t>2017 - Budget expl. 2018</t>
  </si>
  <si>
    <t>Year of forecast</t>
  </si>
  <si>
    <t>0</t>
  </si>
  <si>
    <t>2018</t>
  </si>
  <si>
    <t>2019</t>
  </si>
  <si>
    <t>2020</t>
  </si>
  <si>
    <t>Ministry of Finance</t>
  </si>
  <si>
    <t>Inflation (PCI)</t>
  </si>
  <si>
    <t>Overestimated</t>
  </si>
  <si>
    <t>http://data.csb.gov.lv/pxweb/lv/arhivs/arhivs__ikgad__ikp_eks95/?tablelist=true&amp;rxid=22982e57-4b0b-4546-a79c-4a1dadbb8bf5</t>
  </si>
  <si>
    <t>http://data.csb.gov.lv/pxweb/lv/ekfin/ekfin__ikgad__ikp/?tablelist=true&amp;rxid=cdcb978c-22b0-416a-aacc-aa650d3e2ce0</t>
  </si>
  <si>
    <t>ESA95</t>
  </si>
  <si>
    <t>ESA2010</t>
  </si>
  <si>
    <t>Data on January 17, 2018. Data sources:</t>
  </si>
  <si>
    <t>Two Years Ahead forecast</t>
  </si>
  <si>
    <t>Year Ahead forecast</t>
  </si>
  <si>
    <t>Current Year forecast</t>
  </si>
  <si>
    <t>One-year Ahead 
(Budget Year)</t>
  </si>
  <si>
    <t>Reālā IKP pieauguma prognožu kļūda</t>
  </si>
  <si>
    <t>Real GDP growth rate forecast error</t>
  </si>
  <si>
    <t>One-year Ahead</t>
  </si>
  <si>
    <t>Two-year Ahead</t>
  </si>
  <si>
    <t>Nākamais gads</t>
  </si>
  <si>
    <t>Divi gadi uz priekšu</t>
  </si>
  <si>
    <t>Three-year Ahead</t>
  </si>
  <si>
    <t>Pamatbudžeta ieņēmumi / Basic budget revenues (cash flow)</t>
  </si>
  <si>
    <t>Actual outcome, basic budget</t>
  </si>
  <si>
    <t>Budget Law, basic budget revenues</t>
  </si>
  <si>
    <t>Ieņēmumi, naudas plūsma</t>
  </si>
  <si>
    <t>Speciālā budžeta ieņēmumi / Special budget revenues (cash flow)</t>
  </si>
  <si>
    <t>Actual outcome, special budget</t>
  </si>
  <si>
    <t>Budget Law, special budget revenues</t>
  </si>
  <si>
    <t>Pamatbudžeta izdevumi / Basic budget expenditures (cash flow)</t>
  </si>
  <si>
    <t>Budget Law, basic budget expenditures</t>
  </si>
  <si>
    <t>Izdevumi, naudas plūsma</t>
  </si>
  <si>
    <t>Speciālā budžeta izdevumi / Special budget expenditures (cash flow)</t>
  </si>
  <si>
    <t>Budget Law, special budget expenditures</t>
  </si>
  <si>
    <t>EKS korekcijas / ESA corrections (million euro)</t>
  </si>
  <si>
    <t>ESA corrections (notified in Oct 2017)</t>
  </si>
  <si>
    <t>EKS bilances korekcijas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</si>
</sst>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;\(#,##0\);&quot;-&quot;"/>
    <numFmt numFmtId="166" formatCode="0.0"/>
    <numFmt numFmtId="167" formatCode="0.000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indexed="25"/>
      <name val="Arial Narrow"/>
      <family val="2"/>
    </font>
    <font>
      <sz val="10"/>
      <name val="Arial Narrow"/>
      <family val="2"/>
    </font>
    <font>
      <sz val="8"/>
      <color indexed="25"/>
      <name val="Arial Narrow"/>
      <family val="2"/>
    </font>
    <font>
      <u/>
      <sz val="11"/>
      <color theme="10"/>
      <name val="Calibri"/>
      <family val="2"/>
      <charset val="186"/>
      <scheme val="minor"/>
    </font>
    <font>
      <b/>
      <i/>
      <sz val="10"/>
      <color indexed="25"/>
      <name val="Arial Narrow"/>
      <family val="2"/>
      <charset val="186"/>
    </font>
    <font>
      <b/>
      <sz val="10"/>
      <color indexed="25"/>
      <name val="Arial Narrow"/>
      <family val="2"/>
      <charset val="186"/>
    </font>
    <font>
      <sz val="10"/>
      <name val="Arial Narrow"/>
      <family val="2"/>
      <charset val="186"/>
    </font>
    <font>
      <u/>
      <sz val="10"/>
      <color theme="10"/>
      <name val="Arial Narrow"/>
      <family val="2"/>
      <charset val="186"/>
    </font>
    <font>
      <sz val="10"/>
      <color theme="1"/>
      <name val="Arial Narrow"/>
      <family val="2"/>
      <charset val="186"/>
    </font>
    <font>
      <i/>
      <sz val="10"/>
      <color theme="1"/>
      <name val="Arial Narrow"/>
      <family val="2"/>
      <charset val="186"/>
    </font>
    <font>
      <i/>
      <sz val="10"/>
      <name val="Arial Narrow"/>
      <family val="2"/>
      <charset val="186"/>
    </font>
    <font>
      <sz val="10"/>
      <color theme="0" tint="-0.34998626667073579"/>
      <name val="Arial Narrow"/>
      <family val="2"/>
      <charset val="186"/>
    </font>
    <font>
      <sz val="11"/>
      <color rgb="FF000000"/>
      <name val="Calibri"/>
      <family val="2"/>
    </font>
    <font>
      <sz val="11"/>
      <color rgb="FFFF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2" tint="-0.249977111117893"/>
      <name val="Calibri"/>
      <family val="2"/>
      <charset val="186"/>
      <scheme val="minor"/>
    </font>
    <font>
      <sz val="12"/>
      <color rgb="FFFFFFFF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0"/>
      <name val="Times New Roman"/>
      <family val="1"/>
      <charset val="186"/>
    </font>
    <font>
      <sz val="10"/>
      <color rgb="FF002060"/>
      <name val="Arial Narrow"/>
      <family val="2"/>
      <charset val="186"/>
    </font>
    <font>
      <sz val="10"/>
      <color theme="0" tint="-4.9989318521683403E-2"/>
      <name val="Arial Narrow"/>
      <family val="2"/>
      <charset val="186"/>
    </font>
    <font>
      <b/>
      <i/>
      <sz val="11"/>
      <color rgb="FF002060"/>
      <name val="Calibri"/>
      <family val="2"/>
      <charset val="186"/>
      <scheme val="minor"/>
    </font>
    <font>
      <b/>
      <sz val="10"/>
      <name val="Arial Narrow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1">
      <alignment horizontal="right" wrapText="1"/>
    </xf>
    <xf numFmtId="0" fontId="3" fillId="0" borderId="0" applyFill="0" applyBorder="0">
      <alignment horizontal="left" vertical="top" wrapText="1"/>
    </xf>
    <xf numFmtId="165" fontId="4" fillId="0" borderId="0">
      <alignment horizontal="left" vertical="top"/>
    </xf>
    <xf numFmtId="0" fontId="5" fillId="0" borderId="0" applyNumberFormat="0" applyFill="0" applyBorder="0" applyAlignment="0" applyProtection="0"/>
    <xf numFmtId="0" fontId="14" fillId="0" borderId="0" applyNumberFormat="0" applyBorder="0" applyAlignment="0"/>
    <xf numFmtId="0" fontId="16" fillId="0" borderId="0"/>
  </cellStyleXfs>
  <cellXfs count="131">
    <xf numFmtId="0" fontId="0" fillId="0" borderId="0" xfId="0"/>
    <xf numFmtId="49" fontId="7" fillId="0" borderId="2" xfId="2" applyNumberFormat="1" applyFont="1" applyBorder="1">
      <alignment horizontal="right" wrapText="1"/>
    </xf>
    <xf numFmtId="49" fontId="7" fillId="2" borderId="2" xfId="2" applyNumberFormat="1" applyFont="1" applyFill="1" applyBorder="1">
      <alignment horizontal="right" wrapText="1"/>
    </xf>
    <xf numFmtId="49" fontId="7" fillId="2" borderId="2" xfId="2" applyNumberFormat="1" applyFont="1" applyFill="1" applyBorder="1" applyAlignment="1">
      <alignment horizontal="right"/>
    </xf>
    <xf numFmtId="0" fontId="8" fillId="0" borderId="0" xfId="3" applyFont="1" applyBorder="1">
      <alignment horizontal="left" vertical="top" wrapText="1"/>
    </xf>
    <xf numFmtId="166" fontId="8" fillId="0" borderId="0" xfId="1" applyNumberFormat="1" applyFont="1" applyBorder="1" applyAlignment="1">
      <alignment horizontal="right" vertical="center"/>
    </xf>
    <xf numFmtId="2" fontId="8" fillId="2" borderId="0" xfId="1" applyNumberFormat="1" applyFont="1" applyFill="1" applyBorder="1" applyAlignment="1">
      <alignment horizontal="right" vertical="center"/>
    </xf>
    <xf numFmtId="2" fontId="8" fillId="3" borderId="0" xfId="1" applyNumberFormat="1" applyFont="1" applyFill="1" applyBorder="1" applyAlignment="1">
      <alignment horizontal="right" vertical="center"/>
    </xf>
    <xf numFmtId="164" fontId="8" fillId="0" borderId="0" xfId="1" applyNumberFormat="1" applyFont="1" applyBorder="1" applyAlignment="1">
      <alignment horizontal="right" vertical="center"/>
    </xf>
    <xf numFmtId="49" fontId="9" fillId="0" borderId="2" xfId="5" applyNumberFormat="1" applyFont="1" applyBorder="1" applyAlignment="1">
      <alignment horizontal="left" textRotation="90"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49" fontId="6" fillId="0" borderId="2" xfId="2" applyNumberFormat="1" applyFont="1" applyBorder="1" applyAlignment="1">
      <alignment horizontal="right" vertical="center" wrapText="1"/>
    </xf>
    <xf numFmtId="49" fontId="7" fillId="0" borderId="2" xfId="2" applyNumberFormat="1" applyFont="1" applyBorder="1" applyAlignment="1">
      <alignment horizontal="left" vertical="center" wrapText="1"/>
    </xf>
    <xf numFmtId="166" fontId="8" fillId="4" borderId="0" xfId="1" applyNumberFormat="1" applyFont="1" applyFill="1" applyBorder="1" applyAlignment="1">
      <alignment horizontal="right" vertical="center"/>
    </xf>
    <xf numFmtId="166" fontId="8" fillId="5" borderId="0" xfId="1" applyNumberFormat="1" applyFont="1" applyFill="1" applyBorder="1" applyAlignment="1">
      <alignment horizontal="right" vertical="center"/>
    </xf>
    <xf numFmtId="166" fontId="8" fillId="6" borderId="0" xfId="1" applyNumberFormat="1" applyFont="1" applyFill="1" applyBorder="1" applyAlignment="1">
      <alignment horizontal="right" vertical="center"/>
    </xf>
    <xf numFmtId="166" fontId="8" fillId="0" borderId="0" xfId="1" applyNumberFormat="1" applyFont="1" applyFill="1" applyBorder="1" applyAlignment="1">
      <alignment horizontal="right" vertical="center"/>
    </xf>
    <xf numFmtId="166" fontId="10" fillId="0" borderId="0" xfId="0" applyNumberFormat="1" applyFont="1"/>
    <xf numFmtId="166" fontId="0" fillId="0" borderId="0" xfId="0" applyNumberFormat="1"/>
    <xf numFmtId="166" fontId="8" fillId="0" borderId="0" xfId="3" applyNumberFormat="1" applyFont="1" applyBorder="1">
      <alignment horizontal="left" vertical="top" wrapText="1"/>
    </xf>
    <xf numFmtId="0" fontId="13" fillId="0" borderId="0" xfId="0" applyFont="1"/>
    <xf numFmtId="166" fontId="13" fillId="0" borderId="0" xfId="0" applyNumberFormat="1" applyFont="1"/>
    <xf numFmtId="2" fontId="8" fillId="7" borderId="0" xfId="1" applyNumberFormat="1" applyFont="1" applyFill="1" applyBorder="1" applyAlignment="1">
      <alignment horizontal="right" vertical="center"/>
    </xf>
    <xf numFmtId="49" fontId="6" fillId="0" borderId="0" xfId="2" applyNumberFormat="1" applyFont="1" applyBorder="1" applyAlignment="1">
      <alignment horizontal="right" vertical="center" wrapText="1"/>
    </xf>
    <xf numFmtId="49" fontId="7" fillId="0" borderId="2" xfId="2" applyNumberFormat="1" applyFont="1" applyBorder="1" applyAlignment="1">
      <alignment horizontal="left" wrapText="1"/>
    </xf>
    <xf numFmtId="0" fontId="10" fillId="0" borderId="0" xfId="0" applyFont="1" applyFill="1" applyAlignment="1">
      <alignment wrapText="1"/>
    </xf>
    <xf numFmtId="0" fontId="8" fillId="0" borderId="0" xfId="3" applyFont="1" applyFill="1" applyBorder="1">
      <alignment horizontal="left" vertical="top" wrapText="1"/>
    </xf>
    <xf numFmtId="0" fontId="0" fillId="0" borderId="0" xfId="0" applyFill="1"/>
    <xf numFmtId="166" fontId="10" fillId="0" borderId="0" xfId="0" applyNumberFormat="1" applyFont="1" applyFill="1" applyAlignment="1">
      <alignment wrapText="1"/>
    </xf>
    <xf numFmtId="166" fontId="8" fillId="0" borderId="0" xfId="1" applyNumberFormat="1" applyFont="1" applyFill="1" applyBorder="1" applyAlignment="1">
      <alignment horizontal="left" vertical="center"/>
    </xf>
    <xf numFmtId="166" fontId="8" fillId="0" borderId="0" xfId="1" applyNumberFormat="1" applyFont="1" applyBorder="1" applyAlignment="1">
      <alignment horizontal="left" vertical="center"/>
    </xf>
    <xf numFmtId="166" fontId="8" fillId="0" borderId="0" xfId="1" applyNumberFormat="1" applyFont="1" applyBorder="1" applyAlignment="1">
      <alignment horizontal="left" vertical="top" wrapText="1"/>
    </xf>
    <xf numFmtId="0" fontId="0" fillId="0" borderId="4" xfId="0" applyFill="1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166" fontId="0" fillId="0" borderId="0" xfId="0" applyNumberFormat="1" applyFill="1"/>
    <xf numFmtId="166" fontId="0" fillId="0" borderId="0" xfId="0" applyNumberFormat="1" applyBorder="1"/>
    <xf numFmtId="166" fontId="0" fillId="0" borderId="6" xfId="0" applyNumberFormat="1" applyBorder="1"/>
    <xf numFmtId="2" fontId="0" fillId="0" borderId="6" xfId="0" applyNumberFormat="1" applyBorder="1"/>
    <xf numFmtId="0" fontId="0" fillId="0" borderId="0" xfId="0" applyAlignment="1"/>
    <xf numFmtId="2" fontId="0" fillId="0" borderId="0" xfId="0" applyNumberFormat="1" applyBorder="1"/>
    <xf numFmtId="166" fontId="0" fillId="0" borderId="7" xfId="0" applyNumberFormat="1" applyBorder="1"/>
    <xf numFmtId="2" fontId="0" fillId="0" borderId="7" xfId="0" applyNumberFormat="1" applyBorder="1"/>
    <xf numFmtId="166" fontId="0" fillId="0" borderId="0" xfId="0" applyNumberFormat="1" applyFill="1" applyBorder="1"/>
    <xf numFmtId="0" fontId="0" fillId="0" borderId="0" xfId="0" applyFill="1" applyBorder="1"/>
    <xf numFmtId="0" fontId="15" fillId="0" borderId="0" xfId="0" applyFont="1" applyBorder="1"/>
    <xf numFmtId="49" fontId="7" fillId="0" borderId="2" xfId="2" applyNumberFormat="1" applyFont="1" applyBorder="1" applyAlignment="1">
      <alignment horizontal="left" wrapText="1"/>
    </xf>
    <xf numFmtId="166" fontId="18" fillId="0" borderId="0" xfId="0" applyNumberFormat="1" applyFont="1" applyFill="1"/>
    <xf numFmtId="166" fontId="19" fillId="0" borderId="0" xfId="0" applyNumberFormat="1" applyFont="1"/>
    <xf numFmtId="166" fontId="19" fillId="0" borderId="0" xfId="0" applyNumberFormat="1" applyFont="1" applyFill="1"/>
    <xf numFmtId="167" fontId="15" fillId="0" borderId="0" xfId="0" applyNumberFormat="1" applyFont="1" applyBorder="1"/>
    <xf numFmtId="167" fontId="0" fillId="0" borderId="10" xfId="0" applyNumberFormat="1" applyFont="1" applyBorder="1"/>
    <xf numFmtId="166" fontId="0" fillId="9" borderId="0" xfId="0" applyNumberFormat="1" applyFill="1"/>
    <xf numFmtId="167" fontId="0" fillId="0" borderId="8" xfId="0" applyNumberFormat="1" applyFont="1" applyBorder="1"/>
    <xf numFmtId="167" fontId="0" fillId="0" borderId="9" xfId="0" applyNumberFormat="1" applyFont="1" applyBorder="1"/>
    <xf numFmtId="0" fontId="0" fillId="0" borderId="0" xfId="0" applyAlignment="1">
      <alignment wrapText="1"/>
    </xf>
    <xf numFmtId="0" fontId="21" fillId="2" borderId="15" xfId="0" applyFont="1" applyFill="1" applyBorder="1" applyAlignment="1">
      <alignment horizontal="center" vertical="center" textRotation="90"/>
    </xf>
    <xf numFmtId="167" fontId="21" fillId="2" borderId="15" xfId="0" applyNumberFormat="1" applyFont="1" applyFill="1" applyBorder="1" applyAlignment="1">
      <alignment horizontal="center" vertical="center"/>
    </xf>
    <xf numFmtId="167" fontId="21" fillId="8" borderId="15" xfId="0" applyNumberFormat="1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 textRotation="90" wrapText="1"/>
    </xf>
    <xf numFmtId="0" fontId="21" fillId="9" borderId="16" xfId="0" applyFont="1" applyFill="1" applyBorder="1" applyAlignment="1">
      <alignment horizontal="center" vertical="center" textRotation="90" wrapText="1"/>
    </xf>
    <xf numFmtId="167" fontId="21" fillId="9" borderId="16" xfId="0" applyNumberFormat="1" applyFont="1" applyFill="1" applyBorder="1" applyAlignment="1">
      <alignment horizontal="center" vertical="center"/>
    </xf>
    <xf numFmtId="0" fontId="22" fillId="10" borderId="12" xfId="0" applyFont="1" applyFill="1" applyBorder="1" applyAlignment="1">
      <alignment horizontal="right" vertical="center"/>
    </xf>
    <xf numFmtId="49" fontId="7" fillId="0" borderId="2" xfId="2" applyNumberFormat="1" applyFont="1" applyBorder="1" applyAlignment="1"/>
    <xf numFmtId="49" fontId="7" fillId="0" borderId="2" xfId="2" applyNumberFormat="1" applyFont="1" applyFill="1" applyBorder="1" applyAlignment="1"/>
    <xf numFmtId="49" fontId="7" fillId="0" borderId="2" xfId="2" applyNumberFormat="1" applyFont="1" applyFill="1" applyBorder="1">
      <alignment horizontal="right" wrapText="1"/>
    </xf>
    <xf numFmtId="0" fontId="10" fillId="7" borderId="0" xfId="0" applyFont="1" applyFill="1"/>
    <xf numFmtId="0" fontId="8" fillId="7" borderId="0" xfId="3" applyFont="1" applyFill="1" applyBorder="1" applyAlignment="1">
      <alignment horizontal="left" vertical="top"/>
    </xf>
    <xf numFmtId="0" fontId="0" fillId="7" borderId="0" xfId="0" applyFill="1"/>
    <xf numFmtId="166" fontId="8" fillId="7" borderId="0" xfId="1" applyNumberFormat="1" applyFont="1" applyFill="1" applyBorder="1" applyAlignment="1">
      <alignment horizontal="right" vertical="center"/>
    </xf>
    <xf numFmtId="0" fontId="0" fillId="0" borderId="6" xfId="0" applyFill="1" applyBorder="1"/>
    <xf numFmtId="166" fontId="18" fillId="2" borderId="0" xfId="0" applyNumberFormat="1" applyFont="1" applyFill="1"/>
    <xf numFmtId="0" fontId="0" fillId="9" borderId="0" xfId="0" applyFill="1"/>
    <xf numFmtId="0" fontId="0" fillId="2" borderId="0" xfId="0" applyFill="1"/>
    <xf numFmtId="0" fontId="19" fillId="0" borderId="0" xfId="0" applyFont="1" applyFill="1"/>
    <xf numFmtId="0" fontId="23" fillId="0" borderId="0" xfId="0" applyFont="1" applyFill="1" applyAlignment="1">
      <alignment wrapText="1"/>
    </xf>
    <xf numFmtId="1" fontId="24" fillId="0" borderId="0" xfId="1" applyNumberFormat="1" applyFont="1" applyFill="1" applyBorder="1" applyAlignment="1">
      <alignment horizontal="center" vertical="center"/>
    </xf>
    <xf numFmtId="49" fontId="7" fillId="0" borderId="2" xfId="2" applyNumberFormat="1" applyFont="1" applyBorder="1" applyAlignment="1">
      <alignment horizontal="right" wrapText="1"/>
    </xf>
    <xf numFmtId="166" fontId="8" fillId="1" borderId="0" xfId="1" applyNumberFormat="1" applyFont="1" applyFill="1" applyBorder="1" applyAlignment="1">
      <alignment horizontal="right" vertical="center"/>
    </xf>
    <xf numFmtId="0" fontId="10" fillId="1" borderId="0" xfId="0" applyFont="1" applyFill="1" applyAlignment="1">
      <alignment wrapText="1"/>
    </xf>
    <xf numFmtId="0" fontId="0" fillId="1" borderId="0" xfId="0" applyFill="1"/>
    <xf numFmtId="49" fontId="7" fillId="0" borderId="17" xfId="2" applyNumberFormat="1" applyFont="1" applyBorder="1" applyAlignment="1">
      <alignment horizontal="right" wrapText="1"/>
    </xf>
    <xf numFmtId="166" fontId="8" fillId="0" borderId="19" xfId="1" applyNumberFormat="1" applyFont="1" applyBorder="1" applyAlignment="1">
      <alignment horizontal="right" vertical="center"/>
    </xf>
    <xf numFmtId="166" fontId="8" fillId="4" borderId="19" xfId="1" applyNumberFormat="1" applyFont="1" applyFill="1" applyBorder="1" applyAlignment="1">
      <alignment horizontal="right" vertical="center"/>
    </xf>
    <xf numFmtId="166" fontId="8" fillId="5" borderId="19" xfId="1" applyNumberFormat="1" applyFont="1" applyFill="1" applyBorder="1" applyAlignment="1">
      <alignment horizontal="right" vertical="center"/>
    </xf>
    <xf numFmtId="166" fontId="8" fillId="6" borderId="19" xfId="1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wrapText="1"/>
    </xf>
    <xf numFmtId="49" fontId="9" fillId="0" borderId="0" xfId="5" applyNumberFormat="1" applyFont="1" applyBorder="1" applyAlignment="1">
      <alignment horizontal="left" textRotation="90" wrapText="1"/>
    </xf>
    <xf numFmtId="0" fontId="10" fillId="0" borderId="0" xfId="0" applyFont="1" applyBorder="1" applyAlignment="1">
      <alignment wrapText="1"/>
    </xf>
    <xf numFmtId="166" fontId="13" fillId="0" borderId="0" xfId="0" applyNumberFormat="1" applyFont="1" applyBorder="1"/>
    <xf numFmtId="0" fontId="8" fillId="0" borderId="19" xfId="3" applyFont="1" applyBorder="1">
      <alignment horizontal="left" vertical="top" wrapText="1"/>
    </xf>
    <xf numFmtId="0" fontId="0" fillId="0" borderId="19" xfId="0" applyBorder="1"/>
    <xf numFmtId="0" fontId="8" fillId="0" borderId="19" xfId="3" applyFont="1" applyFill="1" applyBorder="1">
      <alignment horizontal="left" vertical="top" wrapText="1"/>
    </xf>
    <xf numFmtId="49" fontId="7" fillId="0" borderId="2" xfId="2" applyNumberFormat="1" applyFont="1" applyBorder="1" applyAlignment="1">
      <alignment horizontal="left" wrapText="1"/>
    </xf>
    <xf numFmtId="49" fontId="0" fillId="0" borderId="0" xfId="0" applyNumberFormat="1"/>
    <xf numFmtId="2" fontId="0" fillId="0" borderId="0" xfId="0" applyNumberFormat="1"/>
    <xf numFmtId="0" fontId="5" fillId="0" borderId="0" xfId="5"/>
    <xf numFmtId="0" fontId="25" fillId="0" borderId="6" xfId="0" applyFont="1" applyBorder="1"/>
    <xf numFmtId="0" fontId="25" fillId="0" borderId="0" xfId="0" applyFont="1"/>
    <xf numFmtId="166" fontId="0" fillId="11" borderId="0" xfId="0" applyNumberFormat="1" applyFill="1"/>
    <xf numFmtId="166" fontId="0" fillId="12" borderId="0" xfId="0" applyNumberFormat="1" applyFill="1"/>
    <xf numFmtId="49" fontId="26" fillId="0" borderId="2" xfId="2" applyNumberFormat="1" applyFont="1" applyBorder="1" applyAlignment="1"/>
    <xf numFmtId="49" fontId="7" fillId="0" borderId="2" xfId="2" applyNumberFormat="1" applyFont="1" applyFill="1" applyBorder="1" applyAlignment="1">
      <alignment vertical="center" wrapText="1"/>
    </xf>
    <xf numFmtId="49" fontId="7" fillId="0" borderId="2" xfId="2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7" fillId="0" borderId="2" xfId="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7" fillId="0" borderId="17" xfId="2" applyNumberFormat="1" applyFont="1" applyBorder="1" applyAlignment="1">
      <alignment horizontal="right" wrapText="1"/>
    </xf>
    <xf numFmtId="49" fontId="7" fillId="0" borderId="2" xfId="2" applyNumberFormat="1" applyFont="1" applyBorder="1" applyAlignment="1">
      <alignment horizontal="left" wrapText="1"/>
    </xf>
    <xf numFmtId="49" fontId="7" fillId="0" borderId="2" xfId="2" applyNumberFormat="1" applyFont="1" applyBorder="1" applyAlignment="1">
      <alignment wrapText="1"/>
    </xf>
    <xf numFmtId="3" fontId="0" fillId="0" borderId="0" xfId="0" applyNumberFormat="1"/>
    <xf numFmtId="3" fontId="0" fillId="0" borderId="0" xfId="0" applyNumberFormat="1" applyFont="1"/>
    <xf numFmtId="0" fontId="0" fillId="0" borderId="0" xfId="0" applyFont="1"/>
    <xf numFmtId="0" fontId="0" fillId="13" borderId="0" xfId="0" applyFill="1"/>
    <xf numFmtId="49" fontId="7" fillId="0" borderId="17" xfId="2" applyNumberFormat="1" applyFont="1" applyBorder="1" applyAlignment="1">
      <alignment horizontal="right" wrapText="1"/>
    </xf>
    <xf numFmtId="49" fontId="7" fillId="0" borderId="18" xfId="2" applyNumberFormat="1" applyFont="1" applyBorder="1" applyAlignment="1">
      <alignment horizontal="right" wrapText="1"/>
    </xf>
    <xf numFmtId="49" fontId="7" fillId="0" borderId="2" xfId="2" applyNumberFormat="1" applyFont="1" applyBorder="1" applyAlignment="1">
      <alignment horizontal="left" wrapText="1"/>
    </xf>
    <xf numFmtId="49" fontId="7" fillId="7" borderId="2" xfId="2" applyNumberFormat="1" applyFont="1" applyFill="1" applyBorder="1" applyAlignment="1">
      <alignment horizontal="center" vertical="center" wrapText="1"/>
    </xf>
    <xf numFmtId="49" fontId="7" fillId="0" borderId="2" xfId="2" applyNumberFormat="1" applyFont="1" applyFill="1" applyBorder="1" applyAlignment="1">
      <alignment horizontal="left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20" fillId="10" borderId="11" xfId="0" applyFont="1" applyFill="1" applyBorder="1" applyAlignment="1">
      <alignment horizontal="center" vertical="center" wrapText="1"/>
    </xf>
    <xf numFmtId="0" fontId="20" fillId="10" borderId="14" xfId="0" applyFont="1" applyFill="1" applyBorder="1" applyAlignment="1">
      <alignment horizontal="center" vertical="center" wrapText="1"/>
    </xf>
    <xf numFmtId="0" fontId="20" fillId="10" borderId="13" xfId="0" applyFont="1" applyFill="1" applyBorder="1" applyAlignment="1">
      <alignment horizontal="center" vertical="center" wrapText="1"/>
    </xf>
    <xf numFmtId="0" fontId="20" fillId="10" borderId="11" xfId="0" applyFont="1" applyFill="1" applyBorder="1" applyAlignment="1">
      <alignment horizontal="left" vertical="center" wrapText="1"/>
    </xf>
    <xf numFmtId="0" fontId="20" fillId="10" borderId="12" xfId="0" applyFont="1" applyFill="1" applyBorder="1" applyAlignment="1">
      <alignment horizontal="left" vertical="center" wrapText="1"/>
    </xf>
  </cellXfs>
  <cellStyles count="8">
    <cellStyle name="EYColumnHeading" xfId="2"/>
    <cellStyle name="EYSource" xfId="4"/>
    <cellStyle name="EYtext" xfId="3"/>
    <cellStyle name="Hyperlink" xfId="5" builtinId="8"/>
    <cellStyle name="Normal" xfId="0" builtinId="0"/>
    <cellStyle name="Normal 2" xfId="6"/>
    <cellStyle name="Normal 3" xfId="7"/>
    <cellStyle name="Percent" xfId="1" builtinId="5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lv-LV">
                <a:solidFill>
                  <a:srgbClr val="002060"/>
                </a:solidFill>
              </a:rPr>
              <a:t>Nominal</a:t>
            </a:r>
            <a:r>
              <a:rPr lang="lv-LV" baseline="0">
                <a:solidFill>
                  <a:srgbClr val="002060"/>
                </a:solidFill>
              </a:rPr>
              <a:t> GDP growth</a:t>
            </a:r>
            <a:endParaRPr lang="lv-LV">
              <a:solidFill>
                <a:srgbClr val="002060"/>
              </a:solidFill>
            </a:endParaRPr>
          </a:p>
        </c:rich>
      </c:tx>
      <c:layout>
        <c:manualLayout>
          <c:xMode val="edge"/>
          <c:yMode val="edge"/>
          <c:x val="0.31139013254211967"/>
          <c:y val="6.8832127703551807E-2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'MoF graphs'!$B$4</c:f>
              <c:strCache>
                <c:ptCount val="1"/>
                <c:pt idx="0">
                  <c:v>Nominal GDP growth (Actual, ESA2010)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6268522387351872E-2"/>
                  <c:y val="-2.5047574463015154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4766543382179974E-2"/>
                  <c:y val="-3.058929949783150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1762585371836192E-2"/>
                  <c:y val="-3.4788738192034901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766543382180002E-2"/>
                  <c:y val="-2.377764374800095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8851926276247529E-2"/>
                  <c:y val="1.6384586257493474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6835489895288407E-2"/>
                  <c:y val="-6.9075333455886206E-3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9418893784184119E-2"/>
                  <c:y val="-2.7080946513852269E-3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1762585371836136E-2"/>
                  <c:y val="-3.3836257828607934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0314325177981554E-2"/>
                  <c:y val="-3.0271739771096193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9840052245216279E-2"/>
                  <c:y val="3.388958526411394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8338073240044276E-2"/>
                  <c:y val="3.388958526411394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8338093005162194E-2"/>
                  <c:y val="2.4067594430460953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8338093005162194E-2"/>
                  <c:y val="2.0938861353026778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'MoF graphs'!$C$2:$S$2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graphs'!$C$4:$S$4</c:f>
              <c:numCache>
                <c:formatCode>0.0</c:formatCode>
                <c:ptCount val="17"/>
                <c:pt idx="0">
                  <c:v>15.7</c:v>
                </c:pt>
                <c:pt idx="1">
                  <c:v>23.1</c:v>
                </c:pt>
                <c:pt idx="2">
                  <c:v>25.8</c:v>
                </c:pt>
                <c:pt idx="3">
                  <c:v>32.1</c:v>
                </c:pt>
                <c:pt idx="4">
                  <c:v>7.8</c:v>
                </c:pt>
                <c:pt idx="5">
                  <c:v>-22.7</c:v>
                </c:pt>
                <c:pt idx="6">
                  <c:v>-4.7</c:v>
                </c:pt>
                <c:pt idx="7">
                  <c:v>13.2</c:v>
                </c:pt>
                <c:pt idx="8">
                  <c:v>7.8</c:v>
                </c:pt>
                <c:pt idx="9">
                  <c:v>4.3</c:v>
                </c:pt>
                <c:pt idx="10">
                  <c:v>3.7</c:v>
                </c:pt>
                <c:pt idx="11">
                  <c:v>2.8</c:v>
                </c:pt>
                <c:pt idx="12">
                  <c:v>2.4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'MoF graphs'!$A$12:$B$12</c:f>
              <c:strCache>
                <c:ptCount val="1"/>
                <c:pt idx="0">
                  <c:v>2009 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graphs'!$C$2:$S$2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graphs'!$C$12:$S$12</c:f>
              <c:numCache>
                <c:formatCode>0.0</c:formatCode>
                <c:ptCount val="17"/>
                <c:pt idx="5">
                  <c:v>-19.7</c:v>
                </c:pt>
                <c:pt idx="6">
                  <c:v>-8.8000000000000007</c:v>
                </c:pt>
                <c:pt idx="7">
                  <c:v>-0.3</c:v>
                </c:pt>
                <c:pt idx="8">
                  <c:v>4.2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'MoF graphs'!$A$13:$B$13</c:f>
              <c:strCache>
                <c:ptCount val="1"/>
                <c:pt idx="0">
                  <c:v>2010 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graphs'!$C$2:$S$2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graphs'!$C$13:$S$13</c:f>
              <c:numCache>
                <c:formatCode>0.0</c:formatCode>
                <c:ptCount val="17"/>
                <c:pt idx="6">
                  <c:v>-3.4</c:v>
                </c:pt>
                <c:pt idx="7">
                  <c:v>3.9</c:v>
                </c:pt>
                <c:pt idx="8">
                  <c:v>5.0999999999999996</c:v>
                </c:pt>
                <c:pt idx="9">
                  <c:v>5.5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'MoF graphs'!$A$14:$B$14</c:f>
              <c:strCache>
                <c:ptCount val="1"/>
                <c:pt idx="0">
                  <c:v>2011 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graphs'!$C$2:$S$2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graphs'!$C$14:$S$14</c:f>
              <c:numCache>
                <c:formatCode>0.0</c:formatCode>
                <c:ptCount val="17"/>
                <c:pt idx="7">
                  <c:v>8.6999999999999993</c:v>
                </c:pt>
                <c:pt idx="8">
                  <c:v>4.3</c:v>
                </c:pt>
                <c:pt idx="9">
                  <c:v>6.1</c:v>
                </c:pt>
                <c:pt idx="10">
                  <c:v>6.1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'MoF graphs'!$A$15:$B$15</c:f>
              <c:strCache>
                <c:ptCount val="1"/>
                <c:pt idx="0">
                  <c:v>2012 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graphs'!$C$2:$S$2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graphs'!$C$15:$S$15</c:f>
              <c:numCache>
                <c:formatCode>0.0</c:formatCode>
                <c:ptCount val="17"/>
                <c:pt idx="8">
                  <c:v>6.7</c:v>
                </c:pt>
                <c:pt idx="9">
                  <c:v>5.8</c:v>
                </c:pt>
                <c:pt idx="10">
                  <c:v>6.1</c:v>
                </c:pt>
                <c:pt idx="11">
                  <c:v>6.1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'MoF graphs'!$A$16:$B$16</c:f>
              <c:strCache>
                <c:ptCount val="1"/>
                <c:pt idx="0">
                  <c:v>2013 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graphs'!$C$2:$P$2</c:f>
              <c:strCach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strCache>
            </c:strRef>
          </c:xVal>
          <c:yVal>
            <c:numRef>
              <c:f>'MoF graphs'!$C$16:$P$16</c:f>
              <c:numCache>
                <c:formatCode>0.0</c:formatCode>
                <c:ptCount val="14"/>
                <c:pt idx="9">
                  <c:v>5.2</c:v>
                </c:pt>
                <c:pt idx="10">
                  <c:v>6.6</c:v>
                </c:pt>
                <c:pt idx="11">
                  <c:v>6.6</c:v>
                </c:pt>
                <c:pt idx="12">
                  <c:v>6.6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'MoF graphs'!$A$17:$B$17</c:f>
              <c:strCache>
                <c:ptCount val="1"/>
                <c:pt idx="0">
                  <c:v>2014 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graphs'!$D$2:$S$2</c:f>
              <c:strCach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strCache>
            </c:strRef>
          </c:xVal>
          <c:yVal>
            <c:numRef>
              <c:f>'MoF graphs'!$C$17:$S$17</c:f>
              <c:numCache>
                <c:formatCode>0.0</c:formatCode>
                <c:ptCount val="17"/>
                <c:pt idx="10">
                  <c:v>3.8</c:v>
                </c:pt>
                <c:pt idx="11">
                  <c:v>5.2</c:v>
                </c:pt>
                <c:pt idx="12">
                  <c:v>5.9</c:v>
                </c:pt>
                <c:pt idx="13">
                  <c:v>6.2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'MoF graphs'!$A$18:$B$18</c:f>
              <c:strCache>
                <c:ptCount val="1"/>
                <c:pt idx="0">
                  <c:v>2015 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graphs'!$C$2:$S$2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graphs'!$C$18:$S$18</c:f>
              <c:numCache>
                <c:formatCode>0.0</c:formatCode>
                <c:ptCount val="17"/>
                <c:pt idx="11">
                  <c:v>3.2</c:v>
                </c:pt>
                <c:pt idx="12">
                  <c:v>5.2</c:v>
                </c:pt>
                <c:pt idx="13">
                  <c:v>6.2</c:v>
                </c:pt>
                <c:pt idx="14">
                  <c:v>6.2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'MoF graphs'!$A$19:$B$19</c:f>
              <c:strCache>
                <c:ptCount val="1"/>
                <c:pt idx="0">
                  <c:v>2016 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graphs'!$C$2:$S$2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graphs'!$C$19:$S$19</c:f>
              <c:numCache>
                <c:formatCode>0.0</c:formatCode>
                <c:ptCount val="17"/>
                <c:pt idx="12">
                  <c:v>2.8</c:v>
                </c:pt>
                <c:pt idx="13">
                  <c:v>5.3</c:v>
                </c:pt>
                <c:pt idx="14">
                  <c:v>5.7</c:v>
                </c:pt>
                <c:pt idx="15">
                  <c:v>6.1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'MoF graphs'!$A$9:$B$9</c:f>
              <c:strCache>
                <c:ptCount val="1"/>
                <c:pt idx="0">
                  <c:v>2006 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graphs'!$C$2:$S$2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graphs'!$C$9:$S$9</c:f>
              <c:numCache>
                <c:formatCode>0.0</c:formatCode>
                <c:ptCount val="17"/>
                <c:pt idx="2">
                  <c:v>21.4</c:v>
                </c:pt>
                <c:pt idx="3">
                  <c:v>17.100000000000001</c:v>
                </c:pt>
                <c:pt idx="4">
                  <c:v>14</c:v>
                </c:pt>
                <c:pt idx="5">
                  <c:v>12.3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'MoF graphs'!$A$10:$B$10</c:f>
              <c:strCache>
                <c:ptCount val="1"/>
                <c:pt idx="0">
                  <c:v>2007 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graphs'!$C$2:$S$2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graphs'!$C$10:$S$10</c:f>
              <c:numCache>
                <c:formatCode>0.0</c:formatCode>
                <c:ptCount val="17"/>
                <c:pt idx="3">
                  <c:v>20.9</c:v>
                </c:pt>
                <c:pt idx="4">
                  <c:v>15.9</c:v>
                </c:pt>
                <c:pt idx="5">
                  <c:v>13.9</c:v>
                </c:pt>
                <c:pt idx="6">
                  <c:v>12.6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'MoF graphs'!$A$11:$B$11</c:f>
              <c:strCache>
                <c:ptCount val="1"/>
                <c:pt idx="0">
                  <c:v>2008 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graphs'!$C$2:$S$2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graphs'!$C$11:$S$11</c:f>
              <c:numCache>
                <c:formatCode>0.0</c:formatCode>
                <c:ptCount val="17"/>
                <c:pt idx="4">
                  <c:v>15.3</c:v>
                </c:pt>
                <c:pt idx="5">
                  <c:v>10.7</c:v>
                </c:pt>
                <c:pt idx="6">
                  <c:v>10.7</c:v>
                </c:pt>
                <c:pt idx="7">
                  <c:v>10.3</c:v>
                </c:pt>
              </c:numCache>
            </c:numRef>
          </c:yVal>
          <c:smooth val="0"/>
        </c:ser>
        <c:ser>
          <c:idx val="13"/>
          <c:order val="12"/>
          <c:tx>
            <c:strRef>
              <c:f>'MoF graphs'!$A$7:$B$7</c:f>
              <c:strCache>
                <c:ptCount val="1"/>
                <c:pt idx="0">
                  <c:v>2004 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graphs'!$C$2:$S$2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graphs'!$C$7:$S$7</c:f>
              <c:numCache>
                <c:formatCode>0.0</c:formatCode>
                <c:ptCount val="17"/>
                <c:pt idx="0">
                  <c:v>13.9</c:v>
                </c:pt>
                <c:pt idx="1">
                  <c:v>11.1</c:v>
                </c:pt>
                <c:pt idx="2">
                  <c:v>9.6</c:v>
                </c:pt>
                <c:pt idx="3">
                  <c:v>9.1</c:v>
                </c:pt>
              </c:numCache>
            </c:numRef>
          </c:yVal>
          <c:smooth val="0"/>
        </c:ser>
        <c:ser>
          <c:idx val="14"/>
          <c:order val="13"/>
          <c:tx>
            <c:strRef>
              <c:f>'MoF graphs'!$A$8:$B$8</c:f>
              <c:strCache>
                <c:ptCount val="1"/>
                <c:pt idx="0">
                  <c:v>2005 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graphs'!$C$2:$S$2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graphs'!$C$8:$S$8</c:f>
              <c:numCache>
                <c:formatCode>0.0</c:formatCode>
                <c:ptCount val="17"/>
                <c:pt idx="1">
                  <c:v>14.6</c:v>
                </c:pt>
                <c:pt idx="2">
                  <c:v>12.3</c:v>
                </c:pt>
                <c:pt idx="3">
                  <c:v>10.5</c:v>
                </c:pt>
                <c:pt idx="4">
                  <c:v>10.1</c:v>
                </c:pt>
              </c:numCache>
            </c:numRef>
          </c:yVal>
          <c:smooth val="0"/>
        </c:ser>
        <c:ser>
          <c:idx val="16"/>
          <c:order val="14"/>
          <c:tx>
            <c:strRef>
              <c:f>'MoF graphs'!$B$5</c:f>
              <c:strCache>
                <c:ptCount val="1"/>
                <c:pt idx="0">
                  <c:v>Nominal GDP growth (Actual, ESA95)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graphs'!$C$2:$S$2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graphs'!$C$5:$S$5</c:f>
              <c:numCache>
                <c:formatCode>0.0</c:formatCode>
                <c:ptCount val="17"/>
                <c:pt idx="0">
                  <c:v>16.481579570718267</c:v>
                </c:pt>
                <c:pt idx="1">
                  <c:v>21.297314499882077</c:v>
                </c:pt>
                <c:pt idx="2">
                  <c:v>23.623830071667626</c:v>
                </c:pt>
                <c:pt idx="3">
                  <c:v>32.30186193664251</c:v>
                </c:pt>
                <c:pt idx="4">
                  <c:v>9.2662675314712608</c:v>
                </c:pt>
                <c:pt idx="5">
                  <c:v>-18.739977440844481</c:v>
                </c:pt>
                <c:pt idx="6">
                  <c:v>-2.1905333766436486</c:v>
                </c:pt>
                <c:pt idx="7">
                  <c:v>11.663663673569015</c:v>
                </c:pt>
                <c:pt idx="8">
                  <c:v>8.7182359321985157</c:v>
                </c:pt>
                <c:pt idx="9">
                  <c:v>5.5827513533242827</c:v>
                </c:pt>
              </c:numCache>
            </c:numRef>
          </c:yVal>
          <c:smooth val="0"/>
        </c:ser>
        <c:ser>
          <c:idx val="17"/>
          <c:order val="15"/>
          <c:tx>
            <c:strRef>
              <c:f>'MoF graphs'!$B$3</c:f>
              <c:strCache>
                <c:ptCount val="1"/>
                <c:pt idx="0">
                  <c:v>Nominal GDP growth (Actual, FM budget)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graphs'!$C$2:$S$2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graphs'!$C$3:$S$3</c:f>
              <c:numCache>
                <c:formatCode>0.0</c:formatCode>
                <c:ptCount val="17"/>
                <c:pt idx="0">
                  <c:v>16.100000000000001</c:v>
                </c:pt>
                <c:pt idx="1">
                  <c:v>20.399999999999999</c:v>
                </c:pt>
                <c:pt idx="2">
                  <c:v>24.3</c:v>
                </c:pt>
                <c:pt idx="3">
                  <c:v>24.9</c:v>
                </c:pt>
                <c:pt idx="4">
                  <c:v>9.9</c:v>
                </c:pt>
                <c:pt idx="5">
                  <c:v>-19.2</c:v>
                </c:pt>
                <c:pt idx="6">
                  <c:v>-2.5</c:v>
                </c:pt>
                <c:pt idx="7">
                  <c:v>11.2</c:v>
                </c:pt>
                <c:pt idx="8">
                  <c:v>8.6999999999999993</c:v>
                </c:pt>
                <c:pt idx="9">
                  <c:v>5.3</c:v>
                </c:pt>
                <c:pt idx="10">
                  <c:v>3.6</c:v>
                </c:pt>
                <c:pt idx="11">
                  <c:v>3.4</c:v>
                </c:pt>
                <c:pt idx="12">
                  <c:v>2.7</c:v>
                </c:pt>
              </c:numCache>
            </c:numRef>
          </c:yVal>
          <c:smooth val="0"/>
        </c:ser>
        <c:ser>
          <c:idx val="18"/>
          <c:order val="16"/>
          <c:tx>
            <c:strRef>
              <c:f>'MoF graphs'!$A$20:$B$20</c:f>
              <c:strCache>
                <c:ptCount val="1"/>
                <c:pt idx="0">
                  <c:v>2017 Nominal GDP growth</c:v>
                </c:pt>
              </c:strCache>
            </c:strRef>
          </c:tx>
          <c:spPr>
            <a:ln w="1905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6"/>
            <c:bubble3D val="0"/>
            <c:spPr>
              <a:ln w="19050" cap="rnd">
                <a:solidFill>
                  <a:schemeClr val="bg2">
                    <a:lumMod val="25000"/>
                  </a:schemeClr>
                </a:solidFill>
                <a:prstDash val="sysDash"/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'MoF graphs'!$C$2:$S$2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graphs'!$C$20:$S$20</c:f>
              <c:numCache>
                <c:formatCode>0.0</c:formatCode>
                <c:ptCount val="17"/>
                <c:pt idx="13">
                  <c:v>6.6</c:v>
                </c:pt>
                <c:pt idx="14">
                  <c:v>6.3</c:v>
                </c:pt>
                <c:pt idx="15">
                  <c:v>5.7</c:v>
                </c:pt>
                <c:pt idx="16">
                  <c:v>5.6</c:v>
                </c:pt>
              </c:numCache>
            </c:numRef>
          </c:yVal>
          <c:smooth val="0"/>
        </c:ser>
        <c:ser>
          <c:idx val="12"/>
          <c:order val="17"/>
          <c:tx>
            <c:strRef>
              <c:f>'MoF graphs'!$B$6</c:f>
              <c:strCache>
                <c:ptCount val="1"/>
                <c:pt idx="0">
                  <c:v>Ministry of Finance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2857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graphs'!$C$2:$S$2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graphs'!$C$6:$S$6</c:f>
              <c:numCache>
                <c:formatCode>0.0</c:formatCode>
                <c:ptCount val="17"/>
                <c:pt idx="13" formatCode="General">
                  <c:v>6.6</c:v>
                </c:pt>
              </c:numCache>
            </c:numRef>
          </c:yVal>
          <c:smooth val="0"/>
        </c:ser>
        <c:ser>
          <c:idx val="15"/>
          <c:order val="18"/>
          <c:tx>
            <c:strRef>
              <c:f>'MoF graphs'!$B$2</c:f>
              <c:strCache>
                <c:ptCount val="1"/>
                <c:pt idx="0">
                  <c:v>0</c:v>
                </c:pt>
              </c:strCache>
            </c:strRef>
          </c:tx>
          <c:spPr>
            <a:ln w="3175" cap="rnd">
              <a:solidFill>
                <a:schemeClr val="bg2">
                  <a:lumMod val="1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graphs'!$C$2:$S$2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graphs'!$C$1:$S$1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084032"/>
        <c:axId val="173085824"/>
      </c:scatterChart>
      <c:valAx>
        <c:axId val="173084032"/>
        <c:scaling>
          <c:orientation val="minMax"/>
        </c:scaling>
        <c:delete val="1"/>
        <c:axPos val="b"/>
        <c:majorTickMark val="none"/>
        <c:minorTickMark val="none"/>
        <c:tickLblPos val="nextTo"/>
        <c:crossAx val="173085824"/>
        <c:crosses val="autoZero"/>
        <c:crossBetween val="midCat"/>
      </c:valAx>
      <c:valAx>
        <c:axId val="173085824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084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Basic budget epxenditure: forecasts and actual outcome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'Budget forecasts'!$H$60:$R$60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forecasts'!$H$61:$R$61</c:f>
              <c:numCache>
                <c:formatCode>#,##0</c:formatCode>
                <c:ptCount val="11"/>
                <c:pt idx="0">
                  <c:v>4551438822</c:v>
                </c:pt>
                <c:pt idx="1">
                  <c:v>4567747726</c:v>
                </c:pt>
                <c:pt idx="2">
                  <c:v>4646055916</c:v>
                </c:pt>
                <c:pt idx="3">
                  <c:v>4769450270</c:v>
                </c:pt>
                <c:pt idx="4">
                  <c:v>5345271200</c:v>
                </c:pt>
                <c:pt idx="5">
                  <c:v>5479421550</c:v>
                </c:pt>
                <c:pt idx="6">
                  <c:v>5400803388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E08-45B9-8A28-4D5EF4E05D8B}"/>
            </c:ext>
          </c:extLst>
        </c:ser>
        <c:ser>
          <c:idx val="3"/>
          <c:order val="1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forecasts'!$H$60:$R$60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forecasts'!$H$62:$R$62</c:f>
              <c:numCache>
                <c:formatCode>#,##0</c:formatCode>
                <c:ptCount val="11"/>
                <c:pt idx="0">
                  <c:v>4332786950.5580502</c:v>
                </c:pt>
                <c:pt idx="1">
                  <c:v>4706859949.5734234</c:v>
                </c:pt>
                <c:pt idx="2">
                  <c:v>4634435774.4122114</c:v>
                </c:pt>
                <c:pt idx="3">
                  <c:v>4853984894.7928581</c:v>
                </c:pt>
                <c:pt idx="4">
                  <c:v>5322800000</c:v>
                </c:pt>
                <c:pt idx="5">
                  <c:v>5534300000</c:v>
                </c:pt>
                <c:pt idx="6">
                  <c:v>5636400000</c:v>
                </c:pt>
                <c:pt idx="7">
                  <c:v>6087000000</c:v>
                </c:pt>
                <c:pt idx="8">
                  <c:v>6482200000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E08-45B9-8A28-4D5EF4E05D8B}"/>
            </c:ext>
          </c:extLst>
        </c:ser>
        <c:ser>
          <c:idx val="4"/>
          <c:order val="2"/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forecasts'!$H$60:$R$60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forecasts'!$H$63:$R$63</c:f>
              <c:numCache>
                <c:formatCode>General</c:formatCode>
                <c:ptCount val="1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E08-45B9-8A28-4D5EF4E05D8B}"/>
            </c:ext>
          </c:extLst>
        </c:ser>
        <c:ser>
          <c:idx val="5"/>
          <c:order val="3"/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forecasts'!$H$60:$R$60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forecasts'!$H$64:$R$64</c:f>
              <c:numCache>
                <c:formatCode>General</c:formatCode>
                <c:ptCount val="1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E08-45B9-8A28-4D5EF4E05D8B}"/>
            </c:ext>
          </c:extLst>
        </c:ser>
        <c:ser>
          <c:idx val="6"/>
          <c:order val="4"/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forecasts'!$H$60:$R$60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forecasts'!$H$65:$R$65</c:f>
              <c:numCache>
                <c:formatCode>#,##0</c:formatCode>
                <c:ptCount val="1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E08-45B9-8A28-4D5EF4E05D8B}"/>
            </c:ext>
          </c:extLst>
        </c:ser>
        <c:ser>
          <c:idx val="7"/>
          <c:order val="5"/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forecasts'!$H$60:$R$60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forecasts'!$H$66:$R$66</c:f>
              <c:numCache>
                <c:formatCode>#,##0</c:formatCode>
                <c:ptCount val="1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E08-45B9-8A28-4D5EF4E05D8B}"/>
            </c:ext>
          </c:extLst>
        </c:ser>
        <c:ser>
          <c:idx val="8"/>
          <c:order val="6"/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forecasts'!$H$60:$R$60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forecasts'!$H$67:$R$67</c:f>
              <c:numCache>
                <c:formatCode>#,##0</c:formatCode>
                <c:ptCount val="1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E08-45B9-8A28-4D5EF4E05D8B}"/>
            </c:ext>
          </c:extLst>
        </c:ser>
        <c:ser>
          <c:idx val="9"/>
          <c:order val="7"/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forecasts'!$H$60:$R$60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forecasts'!$H$68:$R$68</c:f>
              <c:numCache>
                <c:formatCode>#,##0</c:formatCode>
                <c:ptCount val="1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EE08-45B9-8A28-4D5EF4E05D8B}"/>
            </c:ext>
          </c:extLst>
        </c:ser>
        <c:ser>
          <c:idx val="10"/>
          <c:order val="8"/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forecasts'!$H$60:$R$60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forecasts'!$H$69:$R$69</c:f>
              <c:numCache>
                <c:formatCode>#,##0</c:formatCode>
                <c:ptCount val="11"/>
                <c:pt idx="0">
                  <c:v>4332786950.5580502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EE08-45B9-8A28-4D5EF4E05D8B}"/>
            </c:ext>
          </c:extLst>
        </c:ser>
        <c:ser>
          <c:idx val="11"/>
          <c:order val="9"/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forecasts'!$H$60:$R$60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forecasts'!$H$70:$R$70</c:f>
              <c:numCache>
                <c:formatCode>#,##0</c:formatCode>
                <c:ptCount val="11"/>
                <c:pt idx="1">
                  <c:v>4706859949.5734234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EE08-45B9-8A28-4D5EF4E05D8B}"/>
            </c:ext>
          </c:extLst>
        </c:ser>
        <c:ser>
          <c:idx val="12"/>
          <c:order val="10"/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forecasts'!$H$60:$R$60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forecasts'!$H$71:$R$71</c:f>
              <c:numCache>
                <c:formatCode>#,##0</c:formatCode>
                <c:ptCount val="11"/>
                <c:pt idx="2">
                  <c:v>4634435774.4122114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EE08-45B9-8A28-4D5EF4E05D8B}"/>
            </c:ext>
          </c:extLst>
        </c:ser>
        <c:ser>
          <c:idx val="13"/>
          <c:order val="11"/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forecasts'!$H$60:$R$60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forecasts'!$H$72:$R$72</c:f>
              <c:numCache>
                <c:formatCode>#,##0</c:formatCode>
                <c:ptCount val="11"/>
                <c:pt idx="3">
                  <c:v>4853984894.7928581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EE08-45B9-8A28-4D5EF4E05D8B}"/>
            </c:ext>
          </c:extLst>
        </c:ser>
        <c:ser>
          <c:idx val="14"/>
          <c:order val="12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forecasts'!$H$60:$R$60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forecasts'!$H$73:$R$73</c:f>
              <c:numCache>
                <c:formatCode>#,##0</c:formatCode>
                <c:ptCount val="11"/>
                <c:pt idx="4">
                  <c:v>5322800000</c:v>
                </c:pt>
                <c:pt idx="5">
                  <c:v>5133000000</c:v>
                </c:pt>
                <c:pt idx="6">
                  <c:v>5356500000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EE08-45B9-8A28-4D5EF4E05D8B}"/>
            </c:ext>
          </c:extLst>
        </c:ser>
        <c:ser>
          <c:idx val="15"/>
          <c:order val="13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forecasts'!$H$60:$R$60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forecasts'!$H$74:$R$74</c:f>
              <c:numCache>
                <c:formatCode>#,##0</c:formatCode>
                <c:ptCount val="11"/>
                <c:pt idx="5">
                  <c:v>5534300000</c:v>
                </c:pt>
                <c:pt idx="6">
                  <c:v>5599800000</c:v>
                </c:pt>
                <c:pt idx="7">
                  <c:v>5599100000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EE08-45B9-8A28-4D5EF4E05D8B}"/>
            </c:ext>
          </c:extLst>
        </c:ser>
        <c:ser>
          <c:idx val="16"/>
          <c:order val="14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forecasts'!$H$60:$R$60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forecasts'!$H$75:$R$75</c:f>
              <c:numCache>
                <c:formatCode>#,##0</c:formatCode>
                <c:ptCount val="11"/>
                <c:pt idx="6">
                  <c:v>5636400000</c:v>
                </c:pt>
                <c:pt idx="7">
                  <c:v>6041500000</c:v>
                </c:pt>
                <c:pt idx="8">
                  <c:v>6189400000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EE08-45B9-8A28-4D5EF4E05D8B}"/>
            </c:ext>
          </c:extLst>
        </c:ser>
        <c:ser>
          <c:idx val="1"/>
          <c:order val="15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forecasts'!$H$60:$R$60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forecasts'!$H$76:$R$76</c:f>
              <c:numCache>
                <c:formatCode>#,##0</c:formatCode>
                <c:ptCount val="11"/>
                <c:pt idx="7">
                  <c:v>6087000000</c:v>
                </c:pt>
                <c:pt idx="8">
                  <c:v>6263100000</c:v>
                </c:pt>
                <c:pt idx="9">
                  <c:v>6198500000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EE08-45B9-8A28-4D5EF4E05D8B}"/>
            </c:ext>
          </c:extLst>
        </c:ser>
        <c:ser>
          <c:idx val="2"/>
          <c:order val="16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forecasts'!$H$60:$R$60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forecasts'!$H$77:$R$77</c:f>
              <c:numCache>
                <c:formatCode>#,##0</c:formatCode>
                <c:ptCount val="11"/>
                <c:pt idx="8">
                  <c:v>6482200000</c:v>
                </c:pt>
                <c:pt idx="9">
                  <c:v>6651000000</c:v>
                </c:pt>
                <c:pt idx="10">
                  <c:v>6980600000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EE08-45B9-8A28-4D5EF4E05D8B}"/>
            </c:ext>
          </c:extLst>
        </c:ser>
        <c:ser>
          <c:idx val="17"/>
          <c:order val="17"/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forecasts'!$H$60:$R$60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forecasts'!$A$69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EE08-45B9-8A28-4D5EF4E05D8B}"/>
            </c:ext>
          </c:extLst>
        </c:ser>
        <c:ser>
          <c:idx val="18"/>
          <c:order val="18"/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forecasts'!$H$60:$R$60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forecasts'!$A$70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EE08-45B9-8A28-4D5EF4E05D8B}"/>
            </c:ext>
          </c:extLst>
        </c:ser>
        <c:ser>
          <c:idx val="19"/>
          <c:order val="19"/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forecasts'!$H$60:$R$60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forecasts'!$A$71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EE08-45B9-8A28-4D5EF4E05D8B}"/>
            </c:ext>
          </c:extLst>
        </c:ser>
        <c:ser>
          <c:idx val="20"/>
          <c:order val="20"/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forecasts'!$H$60:$R$60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forecasts'!$A$72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EE08-45B9-8A28-4D5EF4E05D8B}"/>
            </c:ext>
          </c:extLst>
        </c:ser>
        <c:ser>
          <c:idx val="21"/>
          <c:order val="21"/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forecasts'!$H$60:$R$60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forecasts'!$A$73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EE08-45B9-8A28-4D5EF4E05D8B}"/>
            </c:ext>
          </c:extLst>
        </c:ser>
        <c:ser>
          <c:idx val="22"/>
          <c:order val="22"/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forecasts'!$H$60:$R$60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forecasts'!$A$74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EE08-45B9-8A28-4D5EF4E05D8B}"/>
            </c:ext>
          </c:extLst>
        </c:ser>
        <c:ser>
          <c:idx val="23"/>
          <c:order val="23"/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forecasts'!$H$60:$R$60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forecasts'!$A$75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EE08-45B9-8A28-4D5EF4E05D8B}"/>
            </c:ext>
          </c:extLst>
        </c:ser>
        <c:ser>
          <c:idx val="24"/>
          <c:order val="24"/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forecasts'!$H$60:$R$60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forecasts'!$A$76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EE08-45B9-8A28-4D5EF4E05D8B}"/>
            </c:ext>
          </c:extLst>
        </c:ser>
        <c:ser>
          <c:idx val="25"/>
          <c:order val="25"/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forecasts'!$H$60:$R$60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forecasts'!$A$77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EE08-45B9-8A28-4D5EF4E05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046144"/>
        <c:axId val="187052032"/>
      </c:scatterChart>
      <c:valAx>
        <c:axId val="187046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87052032"/>
        <c:crosses val="autoZero"/>
        <c:crossBetween val="midCat"/>
      </c:valAx>
      <c:valAx>
        <c:axId val="187052032"/>
        <c:scaling>
          <c:orientation val="minMax"/>
          <c:min val="3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46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Special budget expenditure: forecasts and actual outcome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'Budget forecasts'!$A$88</c:f>
              <c:strCache>
                <c:ptCount val="1"/>
                <c:pt idx="0">
                  <c:v>Actual outcome, special budget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'Budget forecasts'!$B$87:$R$87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forecasts'!$B$88:$R$88</c:f>
              <c:numCache>
                <c:formatCode>#,##0</c:formatCode>
                <c:ptCount val="17"/>
                <c:pt idx="0">
                  <c:v>863422555</c:v>
                </c:pt>
                <c:pt idx="1">
                  <c:v>964898220</c:v>
                </c:pt>
                <c:pt idx="2">
                  <c:v>1136293586</c:v>
                </c:pt>
                <c:pt idx="3">
                  <c:v>1298285187</c:v>
                </c:pt>
                <c:pt idx="4">
                  <c:v>1727131995</c:v>
                </c:pt>
                <c:pt idx="5">
                  <c:v>2079488072</c:v>
                </c:pt>
                <c:pt idx="6">
                  <c:v>2154041153</c:v>
                </c:pt>
                <c:pt idx="7">
                  <c:v>1963182269</c:v>
                </c:pt>
                <c:pt idx="8">
                  <c:v>1995088724</c:v>
                </c:pt>
                <c:pt idx="9">
                  <c:v>2094168039</c:v>
                </c:pt>
                <c:pt idx="10">
                  <c:v>2121754500</c:v>
                </c:pt>
                <c:pt idx="11">
                  <c:v>2203109089</c:v>
                </c:pt>
                <c:pt idx="12">
                  <c:v>2290789394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1E-43C5-8B1F-9D59B5BA77B3}"/>
            </c:ext>
          </c:extLst>
        </c:ser>
        <c:ser>
          <c:idx val="3"/>
          <c:order val="1"/>
          <c:tx>
            <c:strRef>
              <c:f>'Budget forecasts'!$A$89</c:f>
              <c:strCache>
                <c:ptCount val="1"/>
                <c:pt idx="0">
                  <c:v>Budget Law, special budget expenditures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forecasts'!$B$87:$R$87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forecasts'!$B$89:$R$89</c:f>
              <c:numCache>
                <c:formatCode>#,##0</c:formatCode>
                <c:ptCount val="17"/>
                <c:pt idx="0">
                  <c:v>843095406.40064657</c:v>
                </c:pt>
                <c:pt idx="1">
                  <c:v>951677170.30637276</c:v>
                </c:pt>
                <c:pt idx="2">
                  <c:v>1096038155.730474</c:v>
                </c:pt>
                <c:pt idx="3">
                  <c:v>1300789409.280539</c:v>
                </c:pt>
                <c:pt idx="4">
                  <c:v>1613394346.0765734</c:v>
                </c:pt>
                <c:pt idx="5">
                  <c:v>2215695983.5174532</c:v>
                </c:pt>
                <c:pt idx="6">
                  <c:v>1933255929.1068349</c:v>
                </c:pt>
                <c:pt idx="7">
                  <c:v>2041678761.0770571</c:v>
                </c:pt>
                <c:pt idx="8">
                  <c:v>1996004575.9557431</c:v>
                </c:pt>
                <c:pt idx="9">
                  <c:v>2028303766.0571084</c:v>
                </c:pt>
                <c:pt idx="10">
                  <c:v>2074300000</c:v>
                </c:pt>
                <c:pt idx="11">
                  <c:v>2147000000</c:v>
                </c:pt>
                <c:pt idx="12">
                  <c:v>2242600000</c:v>
                </c:pt>
                <c:pt idx="13">
                  <c:v>2420800000</c:v>
                </c:pt>
                <c:pt idx="14">
                  <c:v>2651200000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1E-43C5-8B1F-9D59B5BA77B3}"/>
            </c:ext>
          </c:extLst>
        </c:ser>
        <c:ser>
          <c:idx val="4"/>
          <c:order val="2"/>
          <c:tx>
            <c:strRef>
              <c:f>'Budget forecasts'!$A$90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forecasts'!$B$87:$R$87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forecasts'!$B$90:$R$90</c:f>
              <c:numCache>
                <c:formatCode>General</c:formatCode>
                <c:ptCount val="17"/>
                <c:pt idx="0" formatCode="#,##0">
                  <c:v>843095406.40064657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21E-43C5-8B1F-9D59B5BA77B3}"/>
            </c:ext>
          </c:extLst>
        </c:ser>
        <c:ser>
          <c:idx val="5"/>
          <c:order val="3"/>
          <c:tx>
            <c:strRef>
              <c:f>'Budget forecasts'!$A$91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forecasts'!$B$87:$R$87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forecasts'!$B$91:$R$91</c:f>
              <c:numCache>
                <c:formatCode>#,##0</c:formatCode>
                <c:ptCount val="17"/>
                <c:pt idx="1">
                  <c:v>951677170.30637276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21E-43C5-8B1F-9D59B5BA77B3}"/>
            </c:ext>
          </c:extLst>
        </c:ser>
        <c:ser>
          <c:idx val="6"/>
          <c:order val="4"/>
          <c:tx>
            <c:strRef>
              <c:f>'Budget forecasts'!$A$92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forecasts'!$B$87:$R$87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forecasts'!$B$92:$R$92</c:f>
              <c:numCache>
                <c:formatCode>General</c:formatCode>
                <c:ptCount val="17"/>
                <c:pt idx="2" formatCode="#,##0">
                  <c:v>1096038155.730474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21E-43C5-8B1F-9D59B5BA77B3}"/>
            </c:ext>
          </c:extLst>
        </c:ser>
        <c:ser>
          <c:idx val="7"/>
          <c:order val="5"/>
          <c:tx>
            <c:strRef>
              <c:f>'Budget forecasts'!$A$93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forecasts'!$B$87:$R$87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forecasts'!$B$93:$R$93</c:f>
              <c:numCache>
                <c:formatCode>General</c:formatCode>
                <c:ptCount val="17"/>
                <c:pt idx="3" formatCode="#,##0">
                  <c:v>1300789409.280539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21E-43C5-8B1F-9D59B5BA77B3}"/>
            </c:ext>
          </c:extLst>
        </c:ser>
        <c:ser>
          <c:idx val="8"/>
          <c:order val="6"/>
          <c:tx>
            <c:strRef>
              <c:f>'Budget forecasts'!$A$94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forecasts'!$B$87:$R$87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forecasts'!$B$94:$R$94</c:f>
              <c:numCache>
                <c:formatCode>General</c:formatCode>
                <c:ptCount val="17"/>
                <c:pt idx="4" formatCode="#,##0">
                  <c:v>1613394346.0765734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A21E-43C5-8B1F-9D59B5BA77B3}"/>
            </c:ext>
          </c:extLst>
        </c:ser>
        <c:ser>
          <c:idx val="9"/>
          <c:order val="7"/>
          <c:tx>
            <c:strRef>
              <c:f>'Budget forecasts'!$A$95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forecasts'!$B$87:$R$87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forecasts'!$B$95:$R$95</c:f>
              <c:numCache>
                <c:formatCode>General</c:formatCode>
                <c:ptCount val="17"/>
                <c:pt idx="5" formatCode="#,##0">
                  <c:v>2215695983.5174532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21E-43C5-8B1F-9D59B5BA77B3}"/>
            </c:ext>
          </c:extLst>
        </c:ser>
        <c:ser>
          <c:idx val="10"/>
          <c:order val="8"/>
          <c:tx>
            <c:strRef>
              <c:f>'Budget forecasts'!$A$96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forecasts'!$B$87:$R$87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forecasts'!$B$96:$R$96</c:f>
              <c:numCache>
                <c:formatCode>General</c:formatCode>
                <c:ptCount val="17"/>
                <c:pt idx="6" formatCode="#,##0">
                  <c:v>1933255929.1068349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A21E-43C5-8B1F-9D59B5BA77B3}"/>
            </c:ext>
          </c:extLst>
        </c:ser>
        <c:ser>
          <c:idx val="11"/>
          <c:order val="9"/>
          <c:tx>
            <c:strRef>
              <c:f>'Budget forecasts'!$A$97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forecasts'!$B$87:$R$87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forecasts'!$B$97:$R$97</c:f>
              <c:numCache>
                <c:formatCode>General</c:formatCode>
                <c:ptCount val="17"/>
                <c:pt idx="7" formatCode="#,##0">
                  <c:v>2041678761.0770571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A21E-43C5-8B1F-9D59B5BA77B3}"/>
            </c:ext>
          </c:extLst>
        </c:ser>
        <c:ser>
          <c:idx val="12"/>
          <c:order val="10"/>
          <c:tx>
            <c:strRef>
              <c:f>'Budget forecasts'!$A$98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forecasts'!$B$87:$R$87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forecasts'!$B$98:$R$98</c:f>
              <c:numCache>
                <c:formatCode>General</c:formatCode>
                <c:ptCount val="17"/>
                <c:pt idx="8" formatCode="#,##0">
                  <c:v>1996004575.9557431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A21E-43C5-8B1F-9D59B5BA77B3}"/>
            </c:ext>
          </c:extLst>
        </c:ser>
        <c:ser>
          <c:idx val="13"/>
          <c:order val="11"/>
          <c:tx>
            <c:strRef>
              <c:f>'Budget forecasts'!$A$99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forecasts'!$B$87:$R$87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forecasts'!$B$99:$R$99</c:f>
              <c:numCache>
                <c:formatCode>General</c:formatCode>
                <c:ptCount val="17"/>
                <c:pt idx="9" formatCode="#,##0">
                  <c:v>2028303766.0571084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A21E-43C5-8B1F-9D59B5BA77B3}"/>
            </c:ext>
          </c:extLst>
        </c:ser>
        <c:ser>
          <c:idx val="14"/>
          <c:order val="12"/>
          <c:tx>
            <c:strRef>
              <c:f>'Budget forecasts'!$A$100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forecasts'!$B$87:$R$87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forecasts'!$B$100:$R$100</c:f>
              <c:numCache>
                <c:formatCode>General</c:formatCode>
                <c:ptCount val="17"/>
                <c:pt idx="10" formatCode="#,##0">
                  <c:v>2074300000</c:v>
                </c:pt>
                <c:pt idx="11" formatCode="#,##0">
                  <c:v>2128900000</c:v>
                </c:pt>
                <c:pt idx="12" formatCode="#,##0">
                  <c:v>2134700000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A21E-43C5-8B1F-9D59B5BA77B3}"/>
            </c:ext>
          </c:extLst>
        </c:ser>
        <c:ser>
          <c:idx val="15"/>
          <c:order val="13"/>
          <c:tx>
            <c:strRef>
              <c:f>'Budget forecasts'!$A$101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forecasts'!$B$87:$R$87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forecasts'!$B$101:$R$101</c:f>
              <c:numCache>
                <c:formatCode>General</c:formatCode>
                <c:ptCount val="17"/>
                <c:pt idx="11" formatCode="#,##0">
                  <c:v>2147000000</c:v>
                </c:pt>
                <c:pt idx="12" formatCode="#,##0">
                  <c:v>2194800000</c:v>
                </c:pt>
                <c:pt idx="13" formatCode="#,##0">
                  <c:v>2247800000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A21E-43C5-8B1F-9D59B5BA77B3}"/>
            </c:ext>
          </c:extLst>
        </c:ser>
        <c:ser>
          <c:idx val="16"/>
          <c:order val="14"/>
          <c:tx>
            <c:strRef>
              <c:f>'Budget forecasts'!$A$102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forecasts'!$B$87:$R$87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forecasts'!$B$102:$R$102</c:f>
              <c:numCache>
                <c:formatCode>General</c:formatCode>
                <c:ptCount val="17"/>
                <c:pt idx="12" formatCode="#,##0">
                  <c:v>2242600000</c:v>
                </c:pt>
                <c:pt idx="13" formatCode="#,##0">
                  <c:v>2327800000</c:v>
                </c:pt>
                <c:pt idx="14" formatCode="#,##0">
                  <c:v>2454300000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A21E-43C5-8B1F-9D59B5BA77B3}"/>
            </c:ext>
          </c:extLst>
        </c:ser>
        <c:ser>
          <c:idx val="1"/>
          <c:order val="15"/>
          <c:tx>
            <c:strRef>
              <c:f>'Budget forecasts'!$A$103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forecasts'!$B$87:$R$87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forecasts'!$B$103:$R$103</c:f>
              <c:numCache>
                <c:formatCode>General</c:formatCode>
                <c:ptCount val="17"/>
                <c:pt idx="13" formatCode="#,##0">
                  <c:v>2420800000</c:v>
                </c:pt>
                <c:pt idx="14" formatCode="#,##0">
                  <c:v>2596000000</c:v>
                </c:pt>
                <c:pt idx="15" formatCode="#,##0">
                  <c:v>2771000000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A21E-43C5-8B1F-9D59B5BA77B3}"/>
            </c:ext>
          </c:extLst>
        </c:ser>
        <c:ser>
          <c:idx val="2"/>
          <c:order val="16"/>
          <c:tx>
            <c:strRef>
              <c:f>'Budget forecasts'!$A$104</c:f>
              <c:strCache>
                <c:ptCount val="1"/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forecasts'!$B$87:$R$87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forecasts'!$B$104:$R$104</c:f>
              <c:numCache>
                <c:formatCode>General</c:formatCode>
                <c:ptCount val="17"/>
                <c:pt idx="14" formatCode="#,##0">
                  <c:v>2651200000</c:v>
                </c:pt>
                <c:pt idx="15" formatCode="#,##0">
                  <c:v>2855200000</c:v>
                </c:pt>
                <c:pt idx="16" formatCode="#,##0">
                  <c:v>3032800000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A21E-43C5-8B1F-9D59B5BA7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528576"/>
        <c:axId val="133538560"/>
      </c:scatterChart>
      <c:valAx>
        <c:axId val="13352857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33538560"/>
        <c:crosses val="autoZero"/>
        <c:crossBetween val="midCat"/>
      </c:valAx>
      <c:valAx>
        <c:axId val="13353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528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ESA  corrections: forecasts and actual outcome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'Budget forecasts'!$A$114</c:f>
              <c:strCache>
                <c:ptCount val="1"/>
                <c:pt idx="0">
                  <c:v>ESA corrections (notified in Oct 2017)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'Budget forecasts'!$B$113:$R$113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forecasts'!$B$114:$R$114</c:f>
              <c:numCache>
                <c:formatCode>0.0</c:formatCode>
                <c:ptCount val="17"/>
                <c:pt idx="3">
                  <c:v>-250.5</c:v>
                </c:pt>
                <c:pt idx="4">
                  <c:v>-256.39999999999998</c:v>
                </c:pt>
                <c:pt idx="5">
                  <c:v>-440.6</c:v>
                </c:pt>
                <c:pt idx="6">
                  <c:v>-422.6</c:v>
                </c:pt>
                <c:pt idx="7">
                  <c:v>-227.3</c:v>
                </c:pt>
                <c:pt idx="8">
                  <c:v>-302.2</c:v>
                </c:pt>
                <c:pt idx="9">
                  <c:v>-91.6</c:v>
                </c:pt>
                <c:pt idx="10">
                  <c:v>109</c:v>
                </c:pt>
                <c:pt idx="11">
                  <c:v>75.5</c:v>
                </c:pt>
                <c:pt idx="12">
                  <c:v>109.7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59E-4E63-BF12-EC9EC6590E85}"/>
            </c:ext>
          </c:extLst>
        </c:ser>
        <c:ser>
          <c:idx val="3"/>
          <c:order val="1"/>
          <c:tx>
            <c:strRef>
              <c:f>'Budget forecasts'!$A$115</c:f>
              <c:strCache>
                <c:ptCount val="1"/>
                <c:pt idx="0">
                  <c:v>EKS bilances korekcijas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forecasts'!$B$113:$R$113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forecasts'!$B$115:$R$115</c:f>
              <c:numCache>
                <c:formatCode>General</c:formatCode>
                <c:ptCount val="17"/>
                <c:pt idx="6">
                  <c:v>-345.4</c:v>
                </c:pt>
                <c:pt idx="7">
                  <c:v>-76.599999999999994</c:v>
                </c:pt>
                <c:pt idx="8">
                  <c:v>-293.60000000000002</c:v>
                </c:pt>
                <c:pt idx="9">
                  <c:v>-195.1</c:v>
                </c:pt>
                <c:pt idx="10">
                  <c:v>-50.1</c:v>
                </c:pt>
                <c:pt idx="11">
                  <c:v>-616.9</c:v>
                </c:pt>
                <c:pt idx="12">
                  <c:v>225.2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9E-4E63-BF12-EC9EC6590E85}"/>
            </c:ext>
          </c:extLst>
        </c:ser>
        <c:ser>
          <c:idx val="4"/>
          <c:order val="2"/>
          <c:tx>
            <c:strRef>
              <c:f>'Budget forecasts'!$A$116</c:f>
              <c:strCache>
                <c:ptCount val="1"/>
                <c:pt idx="0">
                  <c:v>EKS bilances korekcijas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forecasts'!$B$113:$R$113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forecasts'!$B$116:$R$116</c:f>
              <c:numCache>
                <c:formatCode>General</c:formatCode>
                <c:ptCount val="17"/>
                <c:pt idx="7">
                  <c:v>-48.9</c:v>
                </c:pt>
                <c:pt idx="8">
                  <c:v>-224.2</c:v>
                </c:pt>
                <c:pt idx="9">
                  <c:v>-72</c:v>
                </c:pt>
                <c:pt idx="10">
                  <c:v>12</c:v>
                </c:pt>
                <c:pt idx="11">
                  <c:v>37.9</c:v>
                </c:pt>
                <c:pt idx="12">
                  <c:v>38</c:v>
                </c:pt>
                <c:pt idx="13">
                  <c:v>269.10000000000002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59E-4E63-BF12-EC9EC6590E85}"/>
            </c:ext>
          </c:extLst>
        </c:ser>
        <c:ser>
          <c:idx val="5"/>
          <c:order val="3"/>
          <c:tx>
            <c:strRef>
              <c:f>'Budget forecasts'!$A$117</c:f>
              <c:strCache>
                <c:ptCount val="1"/>
                <c:pt idx="0">
                  <c:v>EKS bilances korekcijas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forecasts'!$B$113:$R$113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forecasts'!$B$117:$R$117</c:f>
              <c:numCache>
                <c:formatCode>General</c:formatCode>
                <c:ptCount val="17"/>
                <c:pt idx="8">
                  <c:v>-213.5</c:v>
                </c:pt>
                <c:pt idx="9">
                  <c:v>-44.5</c:v>
                </c:pt>
                <c:pt idx="10">
                  <c:v>31.2</c:v>
                </c:pt>
                <c:pt idx="11">
                  <c:v>2.6</c:v>
                </c:pt>
                <c:pt idx="12">
                  <c:v>81</c:v>
                </c:pt>
                <c:pt idx="13">
                  <c:v>147.30000000000001</c:v>
                </c:pt>
                <c:pt idx="14">
                  <c:v>-110.1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59E-4E63-BF12-EC9EC6590E85}"/>
            </c:ext>
          </c:extLst>
        </c:ser>
        <c:ser>
          <c:idx val="6"/>
          <c:order val="4"/>
          <c:tx>
            <c:strRef>
              <c:f>'Budget forecasts'!$A$118</c:f>
              <c:strCache>
                <c:ptCount val="1"/>
                <c:pt idx="0">
                  <c:v>EKS bilances korekcijas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forecasts'!$B$113:$R$113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forecasts'!$B$118:$R$118</c:f>
              <c:numCache>
                <c:formatCode>General</c:formatCode>
                <c:ptCount val="17"/>
                <c:pt idx="9">
                  <c:v>-79.099999999999994</c:v>
                </c:pt>
                <c:pt idx="10">
                  <c:v>27.9</c:v>
                </c:pt>
                <c:pt idx="11">
                  <c:v>64.5</c:v>
                </c:pt>
                <c:pt idx="12">
                  <c:v>85.3</c:v>
                </c:pt>
                <c:pt idx="13">
                  <c:v>38.299999999999997</c:v>
                </c:pt>
                <c:pt idx="14">
                  <c:v>-215.9</c:v>
                </c:pt>
                <c:pt idx="15">
                  <c:v>-26.1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59E-4E63-BF12-EC9EC6590E85}"/>
            </c:ext>
          </c:extLst>
        </c:ser>
        <c:ser>
          <c:idx val="7"/>
          <c:order val="5"/>
          <c:tx>
            <c:strRef>
              <c:f>'Budget forecasts'!$A$119</c:f>
              <c:strCache>
                <c:ptCount val="1"/>
                <c:pt idx="0">
                  <c:v>EKS bilances korekcijas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forecasts'!$B$113:$R$113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forecasts'!$B$119:$R$119</c:f>
              <c:numCache>
                <c:formatCode>0.0</c:formatCode>
                <c:ptCount val="17"/>
                <c:pt idx="0">
                  <c:v>-2.3079243999754766</c:v>
                </c:pt>
                <c:pt idx="1">
                  <c:v>91.1020833916713</c:v>
                </c:pt>
                <c:pt idx="2">
                  <c:v>-51.422114970000102</c:v>
                </c:pt>
                <c:pt idx="3">
                  <c:v>-275.06599999999997</c:v>
                </c:pt>
                <c:pt idx="4">
                  <c:v>-275.65774408796796</c:v>
                </c:pt>
                <c:pt idx="5">
                  <c:v>-436.03997906670998</c:v>
                </c:pt>
                <c:pt idx="6">
                  <c:v>-426.97748111422277</c:v>
                </c:pt>
                <c:pt idx="7">
                  <c:v>-25.306814286771271</c:v>
                </c:pt>
                <c:pt idx="8">
                  <c:v>-262.03913632927527</c:v>
                </c:pt>
                <c:pt idx="9">
                  <c:v>-101.15487172796392</c:v>
                </c:pt>
                <c:pt idx="10" formatCode="General">
                  <c:v>24.7</c:v>
                </c:pt>
                <c:pt idx="11" formatCode="General">
                  <c:v>68.099999999999994</c:v>
                </c:pt>
                <c:pt idx="12" formatCode="General">
                  <c:v>105.2</c:v>
                </c:pt>
                <c:pt idx="13" formatCode="General">
                  <c:v>-222.1</c:v>
                </c:pt>
                <c:pt idx="14" formatCode="General">
                  <c:v>-101.6</c:v>
                </c:pt>
                <c:pt idx="15" formatCode="General">
                  <c:v>-16.2</c:v>
                </c:pt>
                <c:pt idx="16" formatCode="General">
                  <c:v>-81.099999999999994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B59E-4E63-BF12-EC9EC6590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058560"/>
        <c:axId val="179060096"/>
      </c:scatterChart>
      <c:valAx>
        <c:axId val="17905856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79060096"/>
        <c:crosses val="autoZero"/>
        <c:crossBetween val="midCat"/>
      </c:valAx>
      <c:valAx>
        <c:axId val="17906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058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lv-LV">
                <a:solidFill>
                  <a:srgbClr val="002060"/>
                </a:solidFill>
              </a:rPr>
              <a:t>Real GDP growth</a:t>
            </a:r>
          </a:p>
        </c:rich>
      </c:tx>
      <c:layout>
        <c:manualLayout>
          <c:xMode val="edge"/>
          <c:yMode val="edge"/>
          <c:x val="0.33657823685318672"/>
          <c:y val="7.518590454918532E-2"/>
        </c:manualLayout>
      </c:layout>
      <c:overlay val="1"/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'MoF graphs'!$B$24</c:f>
              <c:strCache>
                <c:ptCount val="1"/>
                <c:pt idx="0">
                  <c:v>Real GDP growth (Actual, ESA2010)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5889317713815471E-2"/>
                  <c:y val="-2.4184552535771738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7813584738062465E-2"/>
                  <c:y val="-2.790962873592414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5786915836518746E-2"/>
                  <c:y val="-3.5359516552366445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2780248611132816E-2"/>
                  <c:y val="-3.1634542791324938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2470131010197631E-2"/>
                  <c:y val="7.4393044619422569E-3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9884397196365726E-2"/>
                  <c:y val="3.176752603505207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6456796559425764E-2"/>
                  <c:y val="1.8904516975699387E-3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6394948755058843E-2"/>
                  <c:y val="-7.049922479269737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5889317713815582E-2"/>
                  <c:y val="2.796528192887552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9875983263043611E-2"/>
                  <c:y val="3.541526001890065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8372649650350643E-2"/>
                  <c:y val="3.541526001890065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6869316037657682E-2"/>
                  <c:y val="3.1690270973888122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'MoF graphs'!$C$22:$S$22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graphs'!$C$24:$S$24</c:f>
              <c:numCache>
                <c:formatCode>0.0</c:formatCode>
                <c:ptCount val="17"/>
                <c:pt idx="0">
                  <c:v>8.2999999999999972</c:v>
                </c:pt>
                <c:pt idx="1">
                  <c:v>10.700000000000003</c:v>
                </c:pt>
                <c:pt idx="2">
                  <c:v>11.900000000000006</c:v>
                </c:pt>
                <c:pt idx="3">
                  <c:v>10</c:v>
                </c:pt>
                <c:pt idx="4">
                  <c:v>-3.5</c:v>
                </c:pt>
                <c:pt idx="5">
                  <c:v>-14.400000000000006</c:v>
                </c:pt>
                <c:pt idx="6">
                  <c:v>-3.9000000000000057</c:v>
                </c:pt>
                <c:pt idx="7">
                  <c:v>6.4000000000000057</c:v>
                </c:pt>
                <c:pt idx="8">
                  <c:v>4</c:v>
                </c:pt>
                <c:pt idx="9">
                  <c:v>2.5999999999999943</c:v>
                </c:pt>
                <c:pt idx="10">
                  <c:v>1.9000000000000057</c:v>
                </c:pt>
                <c:pt idx="11">
                  <c:v>2.7999999999999972</c:v>
                </c:pt>
                <c:pt idx="12">
                  <c:v>2.0999999999999943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'MoF graphs'!$A$32:$B$32</c:f>
              <c:strCache>
                <c:ptCount val="1"/>
                <c:pt idx="0">
                  <c:v>2009 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graphs'!$C$22:$S$22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graphs'!$C$32:$S$32</c:f>
              <c:numCache>
                <c:formatCode>0.0</c:formatCode>
                <c:ptCount val="17"/>
                <c:pt idx="5">
                  <c:v>-18</c:v>
                </c:pt>
                <c:pt idx="6">
                  <c:v>-4</c:v>
                </c:pt>
                <c:pt idx="7">
                  <c:v>2</c:v>
                </c:pt>
                <c:pt idx="8">
                  <c:v>3.8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'MoF graphs'!$A$33:$B$33</c:f>
              <c:strCache>
                <c:ptCount val="1"/>
                <c:pt idx="0">
                  <c:v>2010 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graphs'!$C$22:$S$22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graphs'!$C$33:$S$33</c:f>
              <c:numCache>
                <c:formatCode>0.0</c:formatCode>
                <c:ptCount val="17"/>
                <c:pt idx="6">
                  <c:v>-0.4</c:v>
                </c:pt>
                <c:pt idx="7">
                  <c:v>3.3</c:v>
                </c:pt>
                <c:pt idx="8">
                  <c:v>4</c:v>
                </c:pt>
                <c:pt idx="9">
                  <c:v>3.9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'MoF graphs'!$A$34:$B$34</c:f>
              <c:strCache>
                <c:ptCount val="1"/>
                <c:pt idx="0">
                  <c:v>2011 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graphs'!$C$22:$S$22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graphs'!$C$34:$S$34</c:f>
              <c:numCache>
                <c:formatCode>0.0</c:formatCode>
                <c:ptCount val="17"/>
                <c:pt idx="7">
                  <c:v>4.5</c:v>
                </c:pt>
                <c:pt idx="8">
                  <c:v>2.5</c:v>
                </c:pt>
                <c:pt idx="9">
                  <c:v>4</c:v>
                </c:pt>
                <c:pt idx="10">
                  <c:v>4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'MoF graphs'!$A$35:$B$35</c:f>
              <c:strCache>
                <c:ptCount val="1"/>
                <c:pt idx="0">
                  <c:v>2012 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graphs'!$C$22:$S$22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graphs'!$C$35:$S$35</c:f>
              <c:numCache>
                <c:formatCode>0.0</c:formatCode>
                <c:ptCount val="17"/>
                <c:pt idx="8">
                  <c:v>4</c:v>
                </c:pt>
                <c:pt idx="9">
                  <c:v>3.7</c:v>
                </c:pt>
                <c:pt idx="10">
                  <c:v>4</c:v>
                </c:pt>
                <c:pt idx="11">
                  <c:v>4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'MoF graphs'!$A$36:$B$36</c:f>
              <c:strCache>
                <c:ptCount val="1"/>
                <c:pt idx="0">
                  <c:v>2013 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graphs'!$C$22:$S$22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graphs'!$C$36:$S$36</c:f>
              <c:numCache>
                <c:formatCode>General</c:formatCode>
                <c:ptCount val="17"/>
                <c:pt idx="9" formatCode="0.0">
                  <c:v>4.2</c:v>
                </c:pt>
                <c:pt idx="10" formatCode="0.0">
                  <c:v>4.2</c:v>
                </c:pt>
                <c:pt idx="11" formatCode="0.0">
                  <c:v>4</c:v>
                </c:pt>
                <c:pt idx="12" formatCode="0.0">
                  <c:v>4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'MoF graphs'!$A$37:$B$37</c:f>
              <c:strCache>
                <c:ptCount val="1"/>
                <c:pt idx="0">
                  <c:v>2014 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graphs'!$C$22:$S$22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graphs'!$C$37:$S$37</c:f>
              <c:numCache>
                <c:formatCode>General</c:formatCode>
                <c:ptCount val="17"/>
                <c:pt idx="10" formatCode="0.0">
                  <c:v>2.9</c:v>
                </c:pt>
                <c:pt idx="11" formatCode="0.0">
                  <c:v>2.8</c:v>
                </c:pt>
                <c:pt idx="12" formatCode="0.0">
                  <c:v>3.3</c:v>
                </c:pt>
                <c:pt idx="13" formatCode="0.0">
                  <c:v>3.6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'MoF graphs'!$B$38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graphs'!$F$2:$P$2</c:f>
              <c:strCach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strCache>
            </c:strRef>
          </c:xVal>
          <c:yVal>
            <c:numRef>
              <c:f>'MoF graphs'!$C$38:$P$38</c:f>
              <c:numCache>
                <c:formatCode>General</c:formatCode>
                <c:ptCount val="14"/>
                <c:pt idx="11" formatCode="0.0">
                  <c:v>2.1</c:v>
                </c:pt>
                <c:pt idx="12" formatCode="0.0">
                  <c:v>3</c:v>
                </c:pt>
                <c:pt idx="13" formatCode="0.0">
                  <c:v>3.6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'MoF graphs'!$B$39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graphs'!$F$2:$P$2</c:f>
              <c:strCach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strCache>
            </c:strRef>
          </c:xVal>
          <c:yVal>
            <c:numRef>
              <c:f>'MoF graphs'!$C$39:$P$39</c:f>
              <c:numCache>
                <c:formatCode>General</c:formatCode>
                <c:ptCount val="14"/>
                <c:pt idx="12" formatCode="0.0">
                  <c:v>2.5</c:v>
                </c:pt>
                <c:pt idx="13" formatCode="0.0">
                  <c:v>3.5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'MoF graphs'!$A$29:$B$29</c:f>
              <c:strCache>
                <c:ptCount val="1"/>
                <c:pt idx="0">
                  <c:v>2006 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graphs'!$C$22:$S$22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graphs'!$C$29:$S$29</c:f>
              <c:numCache>
                <c:formatCode>0.0</c:formatCode>
                <c:ptCount val="17"/>
                <c:pt idx="2">
                  <c:v>11</c:v>
                </c:pt>
                <c:pt idx="3">
                  <c:v>9</c:v>
                </c:pt>
                <c:pt idx="4">
                  <c:v>7.5</c:v>
                </c:pt>
                <c:pt idx="5">
                  <c:v>7.5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'MoF graphs'!$A$30:$B$30</c:f>
              <c:strCache>
                <c:ptCount val="1"/>
                <c:pt idx="0">
                  <c:v>2007 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graphs'!$C$22:$S$22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graphs'!$C$30:$S$30</c:f>
              <c:numCache>
                <c:formatCode>0.0</c:formatCode>
                <c:ptCount val="17"/>
                <c:pt idx="3">
                  <c:v>9.5</c:v>
                </c:pt>
                <c:pt idx="4">
                  <c:v>7.5</c:v>
                </c:pt>
                <c:pt idx="5">
                  <c:v>7.5</c:v>
                </c:pt>
                <c:pt idx="6">
                  <c:v>7.3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'MoF graphs'!$A$31:$B$31</c:f>
              <c:strCache>
                <c:ptCount val="1"/>
                <c:pt idx="0">
                  <c:v>2008 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graphs'!$C$22:$S$22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graphs'!$C$31:$S$31</c:f>
              <c:numCache>
                <c:formatCode>0.0</c:formatCode>
                <c:ptCount val="17"/>
                <c:pt idx="4">
                  <c:v>1.3</c:v>
                </c:pt>
                <c:pt idx="5">
                  <c:v>2</c:v>
                </c:pt>
                <c:pt idx="6">
                  <c:v>4.5</c:v>
                </c:pt>
                <c:pt idx="7">
                  <c:v>5.5</c:v>
                </c:pt>
              </c:numCache>
            </c:numRef>
          </c:yVal>
          <c:smooth val="0"/>
        </c:ser>
        <c:ser>
          <c:idx val="13"/>
          <c:order val="12"/>
          <c:tx>
            <c:strRef>
              <c:f>'MoF graphs'!$A$27:$B$27</c:f>
              <c:strCache>
                <c:ptCount val="1"/>
                <c:pt idx="0">
                  <c:v>2004 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graphs'!$C$22:$S$22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graphs'!$C$27:$S$27</c:f>
              <c:numCache>
                <c:formatCode>0.0</c:formatCode>
                <c:ptCount val="17"/>
                <c:pt idx="0">
                  <c:v>7.5</c:v>
                </c:pt>
                <c:pt idx="1">
                  <c:v>6.7</c:v>
                </c:pt>
                <c:pt idx="2">
                  <c:v>6.5</c:v>
                </c:pt>
                <c:pt idx="3">
                  <c:v>6.5</c:v>
                </c:pt>
              </c:numCache>
            </c:numRef>
          </c:yVal>
          <c:smooth val="0"/>
        </c:ser>
        <c:ser>
          <c:idx val="14"/>
          <c:order val="13"/>
          <c:tx>
            <c:strRef>
              <c:f>'MoF graphs'!$A$28:$B$28</c:f>
              <c:strCache>
                <c:ptCount val="1"/>
                <c:pt idx="0">
                  <c:v>2005 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graphs'!$C$22:$S$22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graphs'!$C$28:$S$28</c:f>
              <c:numCache>
                <c:formatCode>0.0</c:formatCode>
                <c:ptCount val="17"/>
                <c:pt idx="1">
                  <c:v>7.5</c:v>
                </c:pt>
                <c:pt idx="2">
                  <c:v>7.5</c:v>
                </c:pt>
                <c:pt idx="3">
                  <c:v>7</c:v>
                </c:pt>
                <c:pt idx="4">
                  <c:v>7</c:v>
                </c:pt>
              </c:numCache>
            </c:numRef>
          </c:yVal>
          <c:smooth val="0"/>
        </c:ser>
        <c:ser>
          <c:idx val="17"/>
          <c:order val="14"/>
          <c:tx>
            <c:strRef>
              <c:f>'MoF graphs'!$B$25</c:f>
              <c:strCache>
                <c:ptCount val="1"/>
                <c:pt idx="0">
                  <c:v>Real GDP growth (Actual, ESA95)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'MoF graphs'!$C$22:$S$22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graphs'!$C$25:$S$25</c:f>
              <c:numCache>
                <c:formatCode>0.0</c:formatCode>
                <c:ptCount val="17"/>
                <c:pt idx="0">
                  <c:v>8.8271662011556327</c:v>
                </c:pt>
                <c:pt idx="1">
                  <c:v>10.098466345875556</c:v>
                </c:pt>
                <c:pt idx="2">
                  <c:v>10.988177506469857</c:v>
                </c:pt>
                <c:pt idx="3">
                  <c:v>9.9870549212954582</c:v>
                </c:pt>
                <c:pt idx="4">
                  <c:v>-2.7714461598629407</c:v>
                </c:pt>
                <c:pt idx="5">
                  <c:v>-17.699033956598377</c:v>
                </c:pt>
                <c:pt idx="6">
                  <c:v>-1.3066131481671377</c:v>
                </c:pt>
                <c:pt idx="7">
                  <c:v>5.306487211676977</c:v>
                </c:pt>
                <c:pt idx="8">
                  <c:v>5.2167352076547626</c:v>
                </c:pt>
                <c:pt idx="9">
                  <c:v>4.1100958052690046</c:v>
                </c:pt>
              </c:numCache>
            </c:numRef>
          </c:yVal>
          <c:smooth val="0"/>
        </c:ser>
        <c:ser>
          <c:idx val="18"/>
          <c:order val="15"/>
          <c:tx>
            <c:strRef>
              <c:f>'MoF graphs'!$B$23</c:f>
              <c:strCache>
                <c:ptCount val="1"/>
                <c:pt idx="0">
                  <c:v>Real GDP growth (Actual, FM budget)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strRef>
              <c:f>'MoF graphs'!$C$22:$S$22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graphs'!$C$23:$S$23</c:f>
              <c:numCache>
                <c:formatCode>0.0</c:formatCode>
                <c:ptCount val="17"/>
                <c:pt idx="0">
                  <c:v>8.3000000000000007</c:v>
                </c:pt>
                <c:pt idx="1">
                  <c:v>10.199999999999999</c:v>
                </c:pt>
                <c:pt idx="2">
                  <c:v>11.9</c:v>
                </c:pt>
                <c:pt idx="3">
                  <c:v>10.3</c:v>
                </c:pt>
                <c:pt idx="4">
                  <c:v>-4.5999999999999996</c:v>
                </c:pt>
                <c:pt idx="5">
                  <c:v>-18</c:v>
                </c:pt>
                <c:pt idx="6">
                  <c:v>-0.3</c:v>
                </c:pt>
                <c:pt idx="7">
                  <c:v>5.5</c:v>
                </c:pt>
                <c:pt idx="8">
                  <c:v>5.6</c:v>
                </c:pt>
                <c:pt idx="9">
                  <c:v>4.2</c:v>
                </c:pt>
                <c:pt idx="10">
                  <c:v>2.4</c:v>
                </c:pt>
                <c:pt idx="11">
                  <c:v>2.7</c:v>
                </c:pt>
                <c:pt idx="12">
                  <c:v>2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'MoF graphs'!$A$38:$B$38</c:f>
              <c:strCache>
                <c:ptCount val="1"/>
                <c:pt idx="0">
                  <c:v>2015 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graphs'!$C$22:$S$22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graphs'!$C$38:$S$38</c:f>
              <c:numCache>
                <c:formatCode>General</c:formatCode>
                <c:ptCount val="17"/>
                <c:pt idx="11" formatCode="0.0">
                  <c:v>2.1</c:v>
                </c:pt>
                <c:pt idx="12" formatCode="0.0">
                  <c:v>3</c:v>
                </c:pt>
                <c:pt idx="13" formatCode="0.0">
                  <c:v>3.6</c:v>
                </c:pt>
                <c:pt idx="14" formatCode="0.0">
                  <c:v>3.6</c:v>
                </c:pt>
              </c:numCache>
            </c:numRef>
          </c:yVal>
          <c:smooth val="0"/>
        </c:ser>
        <c:ser>
          <c:idx val="19"/>
          <c:order val="17"/>
          <c:tx>
            <c:strRef>
              <c:f>'MoF graphs'!$A$39:$B$39</c:f>
              <c:strCache>
                <c:ptCount val="1"/>
                <c:pt idx="0">
                  <c:v>2016 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graphs'!$C$22:$S$22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graphs'!$C$39:$S$39</c:f>
              <c:numCache>
                <c:formatCode>General</c:formatCode>
                <c:ptCount val="17"/>
                <c:pt idx="12" formatCode="0.0">
                  <c:v>2.5</c:v>
                </c:pt>
                <c:pt idx="13" formatCode="0.0">
                  <c:v>3.5</c:v>
                </c:pt>
                <c:pt idx="14" formatCode="0.0">
                  <c:v>3.4</c:v>
                </c:pt>
                <c:pt idx="15" formatCode="0.0">
                  <c:v>3.4</c:v>
                </c:pt>
              </c:numCache>
            </c:numRef>
          </c:yVal>
          <c:smooth val="0"/>
        </c:ser>
        <c:ser>
          <c:idx val="20"/>
          <c:order val="18"/>
          <c:tx>
            <c:strRef>
              <c:f>'MoF graphs'!$A$40:$B$40</c:f>
              <c:strCache>
                <c:ptCount val="1"/>
                <c:pt idx="0">
                  <c:v>2017 Real GDP growth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'MoF graphs'!$C$22:$S$22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graphs'!$C$40:$S$40</c:f>
              <c:numCache>
                <c:formatCode>0.0</c:formatCode>
                <c:ptCount val="17"/>
                <c:pt idx="13">
                  <c:v>3.7</c:v>
                </c:pt>
                <c:pt idx="14">
                  <c:v>3.4</c:v>
                </c:pt>
                <c:pt idx="15">
                  <c:v>3.2</c:v>
                </c:pt>
                <c:pt idx="16">
                  <c:v>3.2</c:v>
                </c:pt>
              </c:numCache>
            </c:numRef>
          </c:yVal>
          <c:smooth val="0"/>
        </c:ser>
        <c:ser>
          <c:idx val="12"/>
          <c:order val="19"/>
          <c:tx>
            <c:strRef>
              <c:f>'MoF graphs'!$B$26</c:f>
              <c:strCache>
                <c:ptCount val="1"/>
                <c:pt idx="0">
                  <c:v>Ministry of Finance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2857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graphs'!$C$22:$S$22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graphs'!$C$26:$S$26</c:f>
              <c:numCache>
                <c:formatCode>0.0</c:formatCode>
                <c:ptCount val="17"/>
                <c:pt idx="13" formatCode="General">
                  <c:v>3.7</c:v>
                </c:pt>
              </c:numCache>
            </c:numRef>
          </c:yVal>
          <c:smooth val="0"/>
        </c:ser>
        <c:ser>
          <c:idx val="15"/>
          <c:order val="20"/>
          <c:tx>
            <c:strRef>
              <c:f>'MoF graphs'!$B$2</c:f>
              <c:strCache>
                <c:ptCount val="1"/>
                <c:pt idx="0">
                  <c:v>0</c:v>
                </c:pt>
              </c:strCache>
            </c:strRef>
          </c:tx>
          <c:spPr>
            <a:ln w="3175" cap="rnd">
              <a:solidFill>
                <a:schemeClr val="bg2">
                  <a:lumMod val="1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graphs'!$C$2:$S$2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graphs'!$C$1:$S$1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284352"/>
        <c:axId val="173323008"/>
      </c:scatterChart>
      <c:valAx>
        <c:axId val="173284352"/>
        <c:scaling>
          <c:orientation val="minMax"/>
        </c:scaling>
        <c:delete val="1"/>
        <c:axPos val="b"/>
        <c:numFmt formatCode="yyyy" sourceLinked="0"/>
        <c:majorTickMark val="out"/>
        <c:minorTickMark val="none"/>
        <c:tickLblPos val="low"/>
        <c:crossAx val="173323008"/>
        <c:crosses val="autoZero"/>
        <c:crossBetween val="midCat"/>
      </c:valAx>
      <c:valAx>
        <c:axId val="17332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284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lv-LV">
                <a:solidFill>
                  <a:srgbClr val="002060"/>
                </a:solidFill>
              </a:rPr>
              <a:t>GDP deflator</a:t>
            </a:r>
          </a:p>
        </c:rich>
      </c:tx>
      <c:layout>
        <c:manualLayout>
          <c:xMode val="edge"/>
          <c:yMode val="edge"/>
          <c:x val="0.34825937871393031"/>
          <c:y val="7.1502857186611424E-2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'MoF graphs'!$B$44</c:f>
              <c:strCache>
                <c:ptCount val="1"/>
                <c:pt idx="0">
                  <c:v>GDP deflator (Actual, ESA2010)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401678657074338E-2"/>
                  <c:y val="-2.2953350596249852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404076738609143E-2"/>
                  <c:y val="-3.709476361291939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6900479616306957E-2"/>
                  <c:y val="-4.063011686708689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6408872901678659E-2"/>
                  <c:y val="-2.648870385041725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0389688249400537E-2"/>
                  <c:y val="-1.2347290833747648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0389688249400481E-2"/>
                  <c:y val="-2.2953350596249984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6408872901678659E-2"/>
                  <c:y val="-2.648870385041731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6408872901678659E-2"/>
                  <c:y val="2.654159496209364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9406474820143885E-2"/>
                  <c:y val="4.0683007978763383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'MoF graphs'!$C$42:$S$42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graphs'!$C$44:$S$44</c:f>
              <c:numCache>
                <c:formatCode>0.0</c:formatCode>
                <c:ptCount val="17"/>
                <c:pt idx="0">
                  <c:v>6.8</c:v>
                </c:pt>
                <c:pt idx="1">
                  <c:v>11.2</c:v>
                </c:pt>
                <c:pt idx="2">
                  <c:v>12.4</c:v>
                </c:pt>
                <c:pt idx="3">
                  <c:v>20.100000000000001</c:v>
                </c:pt>
                <c:pt idx="4">
                  <c:v>11.8</c:v>
                </c:pt>
                <c:pt idx="5">
                  <c:v>-9.6999999999999993</c:v>
                </c:pt>
                <c:pt idx="6">
                  <c:v>-0.8</c:v>
                </c:pt>
                <c:pt idx="7">
                  <c:v>6.4</c:v>
                </c:pt>
                <c:pt idx="8">
                  <c:v>3.6</c:v>
                </c:pt>
                <c:pt idx="9">
                  <c:v>1.7</c:v>
                </c:pt>
                <c:pt idx="10">
                  <c:v>1.8</c:v>
                </c:pt>
                <c:pt idx="11">
                  <c:v>0</c:v>
                </c:pt>
                <c:pt idx="12">
                  <c:v>0.3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'MoF graphs'!$A$47:$B$47</c:f>
              <c:strCache>
                <c:ptCount val="1"/>
                <c:pt idx="0">
                  <c:v>2004 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graphs'!$C$42:$S$42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graphs'!$C$47:$S$47</c:f>
              <c:numCache>
                <c:formatCode>0.0</c:formatCode>
                <c:ptCount val="17"/>
                <c:pt idx="0">
                  <c:v>6</c:v>
                </c:pt>
                <c:pt idx="1">
                  <c:v>4.0999999999999996</c:v>
                </c:pt>
                <c:pt idx="2">
                  <c:v>2.9</c:v>
                </c:pt>
                <c:pt idx="3">
                  <c:v>2.5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'MoF graphs'!$A$48:$B$48</c:f>
              <c:strCache>
                <c:ptCount val="1"/>
                <c:pt idx="0">
                  <c:v>2005 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graphs'!$C$42:$S$42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graphs'!$C$48:$S$48</c:f>
              <c:numCache>
                <c:formatCode>0.0</c:formatCode>
                <c:ptCount val="17"/>
                <c:pt idx="1">
                  <c:v>6.6</c:v>
                </c:pt>
                <c:pt idx="2">
                  <c:v>4.5</c:v>
                </c:pt>
                <c:pt idx="3">
                  <c:v>3.3</c:v>
                </c:pt>
                <c:pt idx="4">
                  <c:v>2.9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'MoF graphs'!$A$49:$B$49</c:f>
              <c:strCache>
                <c:ptCount val="1"/>
                <c:pt idx="0">
                  <c:v>2006 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graphs'!$C$42:$S$42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graphs'!$C$49:$S$49</c:f>
              <c:numCache>
                <c:formatCode>0.0</c:formatCode>
                <c:ptCount val="17"/>
                <c:pt idx="2">
                  <c:v>9.4</c:v>
                </c:pt>
                <c:pt idx="3">
                  <c:v>7.4</c:v>
                </c:pt>
                <c:pt idx="4">
                  <c:v>6</c:v>
                </c:pt>
                <c:pt idx="5">
                  <c:v>4.5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'MoF graphs'!$A$50:$B$50</c:f>
              <c:strCache>
                <c:ptCount val="1"/>
                <c:pt idx="0">
                  <c:v>2007 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graphs'!$C$42:$S$42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graphs'!$C$50:$S$50</c:f>
              <c:numCache>
                <c:formatCode>0.0</c:formatCode>
                <c:ptCount val="17"/>
                <c:pt idx="3">
                  <c:v>10.5</c:v>
                </c:pt>
                <c:pt idx="4">
                  <c:v>7.8</c:v>
                </c:pt>
                <c:pt idx="5">
                  <c:v>6</c:v>
                </c:pt>
                <c:pt idx="6">
                  <c:v>5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'MoF graphs'!$A$51:$B$51</c:f>
              <c:strCache>
                <c:ptCount val="1"/>
                <c:pt idx="0">
                  <c:v>2008 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graphs'!$C$42:$S$42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graphs'!$C$51:$S$51</c:f>
              <c:numCache>
                <c:formatCode>0.0</c:formatCode>
                <c:ptCount val="17"/>
                <c:pt idx="4">
                  <c:v>13.9</c:v>
                </c:pt>
                <c:pt idx="5">
                  <c:v>8.6</c:v>
                </c:pt>
                <c:pt idx="6">
                  <c:v>6</c:v>
                </c:pt>
                <c:pt idx="7">
                  <c:v>4.5</c:v>
                </c:pt>
              </c:numCache>
            </c:numRef>
          </c:yVal>
          <c:smooth val="0"/>
        </c:ser>
        <c:ser>
          <c:idx val="7"/>
          <c:order val="6"/>
          <c:tx>
            <c:strRef>
              <c:f>'MoF graphs'!$A$52:$B$52</c:f>
              <c:strCache>
                <c:ptCount val="1"/>
                <c:pt idx="0">
                  <c:v>2009 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graphs'!$C$42:$S$42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graphs'!$C$52:$S$52</c:f>
              <c:numCache>
                <c:formatCode>0.0</c:formatCode>
                <c:ptCount val="17"/>
                <c:pt idx="5">
                  <c:v>-2.1</c:v>
                </c:pt>
                <c:pt idx="6">
                  <c:v>-5</c:v>
                </c:pt>
                <c:pt idx="7">
                  <c:v>-2.2000000000000002</c:v>
                </c:pt>
                <c:pt idx="8">
                  <c:v>0.4</c:v>
                </c:pt>
              </c:numCache>
            </c:numRef>
          </c:yVal>
          <c:smooth val="0"/>
        </c:ser>
        <c:ser>
          <c:idx val="8"/>
          <c:order val="7"/>
          <c:tx>
            <c:strRef>
              <c:f>'MoF graphs'!$A$53:$B$53</c:f>
              <c:strCache>
                <c:ptCount val="1"/>
                <c:pt idx="0">
                  <c:v>2010 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graphs'!$C$42:$S$42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graphs'!$C$53:$S$53</c:f>
              <c:numCache>
                <c:formatCode>0.0</c:formatCode>
                <c:ptCount val="17"/>
                <c:pt idx="6">
                  <c:v>-3</c:v>
                </c:pt>
                <c:pt idx="7">
                  <c:v>0.60000000000000009</c:v>
                </c:pt>
                <c:pt idx="8">
                  <c:v>1</c:v>
                </c:pt>
                <c:pt idx="9">
                  <c:v>1.5</c:v>
                </c:pt>
              </c:numCache>
            </c:numRef>
          </c:yVal>
          <c:smooth val="0"/>
        </c:ser>
        <c:ser>
          <c:idx val="9"/>
          <c:order val="8"/>
          <c:tx>
            <c:strRef>
              <c:f>'MoF graphs'!$A$54:$B$54</c:f>
              <c:strCache>
                <c:ptCount val="1"/>
                <c:pt idx="0">
                  <c:v>2011 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graphs'!$C$42:$S$42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graphs'!$C$54:$S$54</c:f>
              <c:numCache>
                <c:formatCode>0.0</c:formatCode>
                <c:ptCount val="17"/>
                <c:pt idx="7">
                  <c:v>4</c:v>
                </c:pt>
                <c:pt idx="8">
                  <c:v>1.7</c:v>
                </c:pt>
                <c:pt idx="9">
                  <c:v>2</c:v>
                </c:pt>
                <c:pt idx="10">
                  <c:v>2</c:v>
                </c:pt>
              </c:numCache>
            </c:numRef>
          </c:yVal>
          <c:smooth val="0"/>
        </c:ser>
        <c:ser>
          <c:idx val="10"/>
          <c:order val="9"/>
          <c:tx>
            <c:strRef>
              <c:f>'MoF graphs'!$A$55:$B$55</c:f>
              <c:strCache>
                <c:ptCount val="1"/>
                <c:pt idx="0">
                  <c:v>2012 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graphs'!$C$42:$P$42</c:f>
              <c:strCach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strCache>
            </c:strRef>
          </c:xVal>
          <c:yVal>
            <c:numRef>
              <c:f>'MoF graphs'!$C$55:$P$55</c:f>
              <c:numCache>
                <c:formatCode>0.0</c:formatCode>
                <c:ptCount val="14"/>
                <c:pt idx="8">
                  <c:v>2.6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yVal>
          <c:smooth val="0"/>
        </c:ser>
        <c:ser>
          <c:idx val="11"/>
          <c:order val="10"/>
          <c:tx>
            <c:strRef>
              <c:f>'MoF graphs'!$A$56:$B$56</c:f>
              <c:strCache>
                <c:ptCount val="1"/>
                <c:pt idx="0">
                  <c:v>2013 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graphs'!$C$42:$S$42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graphs'!$C$56:$S$56</c:f>
              <c:numCache>
                <c:formatCode>General</c:formatCode>
                <c:ptCount val="17"/>
                <c:pt idx="9" formatCode="0.0">
                  <c:v>1</c:v>
                </c:pt>
                <c:pt idx="10" formatCode="0.0">
                  <c:v>2.2999999999999998</c:v>
                </c:pt>
                <c:pt idx="11" formatCode="0.0">
                  <c:v>2.5</c:v>
                </c:pt>
                <c:pt idx="12" formatCode="0.0">
                  <c:v>2.5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'MoF graphs'!$A$57:$B$57</c:f>
              <c:strCache>
                <c:ptCount val="1"/>
                <c:pt idx="0">
                  <c:v>2014 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graphs'!$C$42:$S$42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graphs'!$C$57:$S$57</c:f>
              <c:numCache>
                <c:formatCode>General</c:formatCode>
                <c:ptCount val="17"/>
                <c:pt idx="10" formatCode="0.0">
                  <c:v>0.9</c:v>
                </c:pt>
                <c:pt idx="11" formatCode="0.0">
                  <c:v>2.4</c:v>
                </c:pt>
                <c:pt idx="12" formatCode="0.0">
                  <c:v>2.5</c:v>
                </c:pt>
                <c:pt idx="13" formatCode="0.0">
                  <c:v>2.5</c:v>
                </c:pt>
              </c:numCache>
            </c:numRef>
          </c:yVal>
          <c:smooth val="0"/>
        </c:ser>
        <c:ser>
          <c:idx val="13"/>
          <c:order val="12"/>
          <c:tx>
            <c:strRef>
              <c:f>'MoF graphs'!$A$58:$B$58</c:f>
              <c:strCache>
                <c:ptCount val="1"/>
                <c:pt idx="0">
                  <c:v>2015 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graphs'!$C$42:$S$42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graphs'!$C$58:$S$58</c:f>
              <c:numCache>
                <c:formatCode>General</c:formatCode>
                <c:ptCount val="17"/>
                <c:pt idx="11" formatCode="0.0">
                  <c:v>1.1000000000000001</c:v>
                </c:pt>
                <c:pt idx="12" formatCode="0.0">
                  <c:v>2.1</c:v>
                </c:pt>
                <c:pt idx="13" formatCode="0.0">
                  <c:v>2.5</c:v>
                </c:pt>
                <c:pt idx="14" formatCode="0.0">
                  <c:v>2.5</c:v>
                </c:pt>
              </c:numCache>
            </c:numRef>
          </c:yVal>
          <c:smooth val="0"/>
        </c:ser>
        <c:ser>
          <c:idx val="14"/>
          <c:order val="13"/>
          <c:tx>
            <c:strRef>
              <c:f>'MoF graphs'!$A$59:$B$59</c:f>
              <c:strCache>
                <c:ptCount val="1"/>
                <c:pt idx="0">
                  <c:v>2016 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graphs'!$C$42:$S$42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graphs'!$C$59:$S$59</c:f>
              <c:numCache>
                <c:formatCode>General</c:formatCode>
                <c:ptCount val="17"/>
                <c:pt idx="12" formatCode="0.0">
                  <c:v>0.3</c:v>
                </c:pt>
                <c:pt idx="13" formatCode="0.0">
                  <c:v>1.7</c:v>
                </c:pt>
                <c:pt idx="14" formatCode="0.0">
                  <c:v>2.2000000000000002</c:v>
                </c:pt>
                <c:pt idx="15" formatCode="0.0">
                  <c:v>2.7</c:v>
                </c:pt>
              </c:numCache>
            </c:numRef>
          </c:yVal>
          <c:smooth val="0"/>
        </c:ser>
        <c:ser>
          <c:idx val="16"/>
          <c:order val="14"/>
          <c:tx>
            <c:strRef>
              <c:f>'MoF graphs'!$B$45</c:f>
              <c:strCache>
                <c:ptCount val="1"/>
                <c:pt idx="0">
                  <c:v>GDP deflator (Actual, ESA95)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'MoF graphs'!$C$42:$S$42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graphs'!$C$45:$S$45</c:f>
              <c:numCache>
                <c:formatCode>0.0</c:formatCode>
                <c:ptCount val="17"/>
                <c:pt idx="0">
                  <c:v>7</c:v>
                </c:pt>
                <c:pt idx="1">
                  <c:v>10.199999999999999</c:v>
                </c:pt>
                <c:pt idx="2">
                  <c:v>11.4</c:v>
                </c:pt>
                <c:pt idx="3">
                  <c:v>20.3</c:v>
                </c:pt>
                <c:pt idx="4">
                  <c:v>12.4</c:v>
                </c:pt>
                <c:pt idx="5">
                  <c:v>-1.3</c:v>
                </c:pt>
                <c:pt idx="6">
                  <c:v>-0.9</c:v>
                </c:pt>
                <c:pt idx="7">
                  <c:v>6</c:v>
                </c:pt>
                <c:pt idx="8">
                  <c:v>3.3</c:v>
                </c:pt>
              </c:numCache>
            </c:numRef>
          </c:yVal>
          <c:smooth val="0"/>
        </c:ser>
        <c:ser>
          <c:idx val="17"/>
          <c:order val="15"/>
          <c:tx>
            <c:strRef>
              <c:f>'MoF graphs'!$B$43</c:f>
              <c:strCache>
                <c:ptCount val="1"/>
                <c:pt idx="0">
                  <c:v>GDP deflator (Actual, FM budget)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strRef>
              <c:f>'MoF graphs'!$C$42:$S$42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graphs'!$C$43:$S$43</c:f>
              <c:numCache>
                <c:formatCode>0.0</c:formatCode>
                <c:ptCount val="17"/>
                <c:pt idx="0">
                  <c:v>7.2</c:v>
                </c:pt>
                <c:pt idx="1">
                  <c:v>9.1999999999999993</c:v>
                </c:pt>
                <c:pt idx="2">
                  <c:v>11.1</c:v>
                </c:pt>
                <c:pt idx="3">
                  <c:v>13.3</c:v>
                </c:pt>
                <c:pt idx="4">
                  <c:v>15.2</c:v>
                </c:pt>
                <c:pt idx="5">
                  <c:v>-1.5</c:v>
                </c:pt>
                <c:pt idx="6">
                  <c:v>-2.2000000000000002</c:v>
                </c:pt>
                <c:pt idx="7">
                  <c:v>5.4</c:v>
                </c:pt>
                <c:pt idx="8">
                  <c:v>3</c:v>
                </c:pt>
                <c:pt idx="9">
                  <c:v>1.1000000000000001</c:v>
                </c:pt>
                <c:pt idx="10">
                  <c:v>1.2</c:v>
                </c:pt>
                <c:pt idx="11">
                  <c:v>0.6</c:v>
                </c:pt>
                <c:pt idx="12">
                  <c:v>0.7</c:v>
                </c:pt>
              </c:numCache>
            </c:numRef>
          </c:yVal>
          <c:smooth val="0"/>
        </c:ser>
        <c:ser>
          <c:idx val="1"/>
          <c:order val="16"/>
          <c:tx>
            <c:strRef>
              <c:f>'MoF graphs'!$A$60:$B$60</c:f>
              <c:strCache>
                <c:ptCount val="1"/>
                <c:pt idx="0">
                  <c:v>2017 GDP deflator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2.6315647116737687E-2"/>
                  <c:y val="5.289071976239882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'MoF graphs'!$C$42:$S$42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graphs'!$C$60:$S$60</c:f>
              <c:numCache>
                <c:formatCode>General</c:formatCode>
                <c:ptCount val="17"/>
                <c:pt idx="13" formatCode="0.0">
                  <c:v>2.8</c:v>
                </c:pt>
                <c:pt idx="14" formatCode="0.0">
                  <c:v>2.8</c:v>
                </c:pt>
                <c:pt idx="15" formatCode="0.0">
                  <c:v>2.4</c:v>
                </c:pt>
                <c:pt idx="16" formatCode="0.0">
                  <c:v>2.2999999999999998</c:v>
                </c:pt>
              </c:numCache>
            </c:numRef>
          </c:yVal>
          <c:smooth val="0"/>
        </c:ser>
        <c:ser>
          <c:idx val="15"/>
          <c:order val="17"/>
          <c:tx>
            <c:strRef>
              <c:f>'MoF graphs'!$B$46</c:f>
              <c:strCache>
                <c:ptCount val="1"/>
                <c:pt idx="0">
                  <c:v>Ministry of Finance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2857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'MoF graphs'!$C$42:$S$42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graphs'!$C$46:$S$46</c:f>
              <c:numCache>
                <c:formatCode>0.0</c:formatCode>
                <c:ptCount val="17"/>
                <c:pt idx="13" formatCode="General">
                  <c:v>2.8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'MoF graphs'!$B$2</c:f>
              <c:strCache>
                <c:ptCount val="1"/>
                <c:pt idx="0">
                  <c:v>0</c:v>
                </c:pt>
              </c:strCache>
            </c:strRef>
          </c:tx>
          <c:spPr>
            <a:ln w="3175" cap="rnd">
              <a:solidFill>
                <a:schemeClr val="bg2">
                  <a:lumMod val="1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graphs'!$C$2:$S$2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graphs'!$C$1:$S$1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520384"/>
        <c:axId val="173521920"/>
      </c:scatterChart>
      <c:valAx>
        <c:axId val="173520384"/>
        <c:scaling>
          <c:orientation val="minMax"/>
        </c:scaling>
        <c:delete val="1"/>
        <c:axPos val="b"/>
        <c:majorTickMark val="none"/>
        <c:minorTickMark val="none"/>
        <c:tickLblPos val="nextTo"/>
        <c:crossAx val="173521920"/>
        <c:crosses val="autoZero"/>
        <c:crossBetween val="midCat"/>
      </c:valAx>
      <c:valAx>
        <c:axId val="17352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520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lv-LV">
                <a:solidFill>
                  <a:srgbClr val="002060"/>
                </a:solidFill>
              </a:rPr>
              <a:t>Inflation (PCI)</a:t>
            </a:r>
          </a:p>
        </c:rich>
      </c:tx>
      <c:layout>
        <c:manualLayout>
          <c:xMode val="edge"/>
          <c:yMode val="edge"/>
          <c:x val="0.33940577697739055"/>
          <c:y val="0.10191833853313029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'MoF graphs'!$B$63</c:f>
              <c:strCache>
                <c:ptCount val="1"/>
                <c:pt idx="0">
                  <c:v>Inflation (cons. price index), Actual data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3.232102977536052E-2"/>
                  <c:y val="-3.843514186396210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3815989524452125E-2"/>
                  <c:y val="-3.8435141863962054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5775667517184974E-2"/>
                  <c:y val="-1.382192190002429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1861993243302669E-2"/>
                  <c:y val="-9.1058819186434922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6341190778994095E-2"/>
                  <c:y val="-6.6125014323392031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6341190778994206E-2"/>
                  <c:y val="-4.766509935043882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6341190778994095E-2"/>
                  <c:y val="2.309790804588233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6341190778994206E-2"/>
                  <c:y val="3.5404518027851217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6341190778994095E-2"/>
                  <c:y val="3.540451802785109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6341190778994095E-2"/>
                  <c:y val="3.540451802785109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'MoF graphs'!$C$62:$S$62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graphs'!$C$63:$S$63</c:f>
              <c:numCache>
                <c:formatCode>0.0</c:formatCode>
                <c:ptCount val="17"/>
                <c:pt idx="0">
                  <c:v>6.2</c:v>
                </c:pt>
                <c:pt idx="1">
                  <c:v>6.7</c:v>
                </c:pt>
                <c:pt idx="2">
                  <c:v>6.5</c:v>
                </c:pt>
                <c:pt idx="3">
                  <c:v>10.1</c:v>
                </c:pt>
                <c:pt idx="4">
                  <c:v>15.4</c:v>
                </c:pt>
                <c:pt idx="5">
                  <c:v>3.5</c:v>
                </c:pt>
                <c:pt idx="6">
                  <c:v>-1.1000000000000001</c:v>
                </c:pt>
                <c:pt idx="7">
                  <c:v>4.4000000000000004</c:v>
                </c:pt>
                <c:pt idx="8">
                  <c:v>2.2999999999999998</c:v>
                </c:pt>
                <c:pt idx="9">
                  <c:v>0</c:v>
                </c:pt>
                <c:pt idx="10">
                  <c:v>0.6</c:v>
                </c:pt>
                <c:pt idx="11">
                  <c:v>0.2</c:v>
                </c:pt>
                <c:pt idx="12">
                  <c:v>0.1</c:v>
                </c:pt>
              </c:numCache>
            </c:numRef>
          </c:yVal>
          <c:smooth val="0"/>
        </c:ser>
        <c:ser>
          <c:idx val="4"/>
          <c:order val="1"/>
          <c:tx>
            <c:strRef>
              <c:f>'MoF graphs'!$A$65:$B$65</c:f>
              <c:strCache>
                <c:ptCount val="1"/>
                <c:pt idx="0">
                  <c:v>2004 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graphs'!$C$62:$S$62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graphs'!$C$65:$S$65</c:f>
              <c:numCache>
                <c:formatCode>0.0</c:formatCode>
                <c:ptCount val="17"/>
                <c:pt idx="0">
                  <c:v>6.3</c:v>
                </c:pt>
                <c:pt idx="1">
                  <c:v>4.3</c:v>
                </c:pt>
                <c:pt idx="2">
                  <c:v>3.2</c:v>
                </c:pt>
                <c:pt idx="3">
                  <c:v>3</c:v>
                </c:pt>
              </c:numCache>
            </c:numRef>
          </c:yVal>
          <c:smooth val="0"/>
        </c:ser>
        <c:ser>
          <c:idx val="5"/>
          <c:order val="2"/>
          <c:tx>
            <c:strRef>
              <c:f>'MoF graphs'!$A$66:$B$66</c:f>
              <c:strCache>
                <c:ptCount val="1"/>
                <c:pt idx="0">
                  <c:v>2005 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graphs'!$C$62:$S$62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graphs'!$C$66:$S$66</c:f>
              <c:numCache>
                <c:formatCode>0.0</c:formatCode>
                <c:ptCount val="17"/>
                <c:pt idx="1">
                  <c:v>6.4</c:v>
                </c:pt>
                <c:pt idx="2">
                  <c:v>4.5</c:v>
                </c:pt>
                <c:pt idx="3">
                  <c:v>2.8</c:v>
                </c:pt>
                <c:pt idx="4">
                  <c:v>2.5</c:v>
                </c:pt>
              </c:numCache>
            </c:numRef>
          </c:yVal>
          <c:smooth val="0"/>
        </c:ser>
        <c:ser>
          <c:idx val="6"/>
          <c:order val="3"/>
          <c:tx>
            <c:strRef>
              <c:f>'MoF graphs'!$A$67:$B$67</c:f>
              <c:strCache>
                <c:ptCount val="1"/>
                <c:pt idx="0">
                  <c:v>2006 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graphs'!$C$62:$S$62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graphs'!$C$67:$S$67</c:f>
              <c:numCache>
                <c:formatCode>0.0</c:formatCode>
                <c:ptCount val="17"/>
                <c:pt idx="2">
                  <c:v>6.5</c:v>
                </c:pt>
                <c:pt idx="3">
                  <c:v>5.9</c:v>
                </c:pt>
                <c:pt idx="4">
                  <c:v>4.8</c:v>
                </c:pt>
                <c:pt idx="5">
                  <c:v>3.8</c:v>
                </c:pt>
              </c:numCache>
            </c:numRef>
          </c:yVal>
          <c:smooth val="0"/>
        </c:ser>
        <c:ser>
          <c:idx val="7"/>
          <c:order val="4"/>
          <c:tx>
            <c:strRef>
              <c:f>'MoF graphs'!$A$68:$B$68</c:f>
              <c:strCache>
                <c:ptCount val="1"/>
                <c:pt idx="0">
                  <c:v>2007 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graphs'!$C$62:$S$62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graphs'!$C$68:$S$68</c:f>
              <c:numCache>
                <c:formatCode>0.0</c:formatCode>
                <c:ptCount val="17"/>
                <c:pt idx="3">
                  <c:v>8.8000000000000007</c:v>
                </c:pt>
                <c:pt idx="4">
                  <c:v>6.3</c:v>
                </c:pt>
                <c:pt idx="5">
                  <c:v>4.2</c:v>
                </c:pt>
                <c:pt idx="6">
                  <c:v>3.2</c:v>
                </c:pt>
              </c:numCache>
            </c:numRef>
          </c:yVal>
          <c:smooth val="0"/>
        </c:ser>
        <c:ser>
          <c:idx val="8"/>
          <c:order val="5"/>
          <c:tx>
            <c:strRef>
              <c:f>'MoF graphs'!$A$69:$B$69</c:f>
              <c:strCache>
                <c:ptCount val="1"/>
                <c:pt idx="0">
                  <c:v>2008 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graphs'!$C$62:$S$62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graphs'!$C$69:$S$69</c:f>
              <c:numCache>
                <c:formatCode>0.0</c:formatCode>
                <c:ptCount val="17"/>
                <c:pt idx="4">
                  <c:v>16.2</c:v>
                </c:pt>
                <c:pt idx="5">
                  <c:v>9.8000000000000007</c:v>
                </c:pt>
                <c:pt idx="6">
                  <c:v>6.4</c:v>
                </c:pt>
                <c:pt idx="7">
                  <c:v>5</c:v>
                </c:pt>
              </c:numCache>
            </c:numRef>
          </c:yVal>
          <c:smooth val="0"/>
        </c:ser>
        <c:ser>
          <c:idx val="9"/>
          <c:order val="6"/>
          <c:tx>
            <c:strRef>
              <c:f>'MoF graphs'!$A$70:$B$70</c:f>
              <c:strCache>
                <c:ptCount val="1"/>
                <c:pt idx="0">
                  <c:v>2009 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graphs'!$C$62:$S$62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graphs'!$C$70:$S$70</c:f>
              <c:numCache>
                <c:formatCode>0.0</c:formatCode>
                <c:ptCount val="17"/>
                <c:pt idx="5">
                  <c:v>3.5</c:v>
                </c:pt>
                <c:pt idx="6">
                  <c:v>-3.7</c:v>
                </c:pt>
                <c:pt idx="7">
                  <c:v>-2.8</c:v>
                </c:pt>
                <c:pt idx="8">
                  <c:v>0</c:v>
                </c:pt>
              </c:numCache>
            </c:numRef>
          </c:yVal>
          <c:smooth val="0"/>
        </c:ser>
        <c:ser>
          <c:idx val="10"/>
          <c:order val="7"/>
          <c:tx>
            <c:strRef>
              <c:f>'MoF graphs'!$A$71:$B$71</c:f>
              <c:strCache>
                <c:ptCount val="1"/>
                <c:pt idx="0">
                  <c:v>2010 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graphs'!$C$62:$S$62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graphs'!$C$71:$S$71</c:f>
              <c:numCache>
                <c:formatCode>0.0</c:formatCode>
                <c:ptCount val="17"/>
                <c:pt idx="6">
                  <c:v>-1.2</c:v>
                </c:pt>
                <c:pt idx="7">
                  <c:v>1.1000000000000001</c:v>
                </c:pt>
                <c:pt idx="8">
                  <c:v>1.5</c:v>
                </c:pt>
                <c:pt idx="9">
                  <c:v>2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'MoF graphs'!$A$72:$B$72</c:f>
              <c:strCache>
                <c:ptCount val="1"/>
                <c:pt idx="0">
                  <c:v>2011 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graphs'!$C$62:$P$62</c:f>
              <c:strCach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strCache>
            </c:strRef>
          </c:xVal>
          <c:yVal>
            <c:numRef>
              <c:f>'MoF graphs'!$C$72:$P$72</c:f>
              <c:numCache>
                <c:formatCode>0.0</c:formatCode>
                <c:ptCount val="14"/>
                <c:pt idx="7">
                  <c:v>4.4000000000000004</c:v>
                </c:pt>
                <c:pt idx="8">
                  <c:v>2.4</c:v>
                </c:pt>
                <c:pt idx="9">
                  <c:v>2</c:v>
                </c:pt>
                <c:pt idx="10">
                  <c:v>2</c:v>
                </c:pt>
              </c:numCache>
            </c:numRef>
          </c:yVal>
          <c:smooth val="0"/>
        </c:ser>
        <c:ser>
          <c:idx val="12"/>
          <c:order val="9"/>
          <c:tx>
            <c:strRef>
              <c:f>'MoF graphs'!$A$73:$B$73</c:f>
              <c:strCache>
                <c:ptCount val="1"/>
                <c:pt idx="0">
                  <c:v>2012 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graphs'!$C$62:$S$62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graphs'!$C$73:$S$73</c:f>
              <c:numCache>
                <c:formatCode>0.0</c:formatCode>
                <c:ptCount val="17"/>
                <c:pt idx="8">
                  <c:v>2.2999999999999998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yVal>
          <c:smooth val="0"/>
        </c:ser>
        <c:ser>
          <c:idx val="13"/>
          <c:order val="10"/>
          <c:tx>
            <c:strRef>
              <c:f>'MoF graphs'!$A$74:$B$74</c:f>
              <c:strCache>
                <c:ptCount val="1"/>
                <c:pt idx="0">
                  <c:v>2013 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graphs'!$C$62:$S$62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graphs'!$C$74:$S$74</c:f>
              <c:numCache>
                <c:formatCode>General</c:formatCode>
                <c:ptCount val="17"/>
                <c:pt idx="9" formatCode="0.0">
                  <c:v>0.4</c:v>
                </c:pt>
                <c:pt idx="10" formatCode="0.0">
                  <c:v>2.2999999999999998</c:v>
                </c:pt>
                <c:pt idx="11" formatCode="0.0">
                  <c:v>2.5</c:v>
                </c:pt>
                <c:pt idx="12" formatCode="0.0">
                  <c:v>2.5</c:v>
                </c:pt>
              </c:numCache>
            </c:numRef>
          </c:yVal>
          <c:smooth val="0"/>
        </c:ser>
        <c:ser>
          <c:idx val="14"/>
          <c:order val="11"/>
          <c:tx>
            <c:strRef>
              <c:f>'MoF graphs'!$A$75:$B$75</c:f>
              <c:strCache>
                <c:ptCount val="1"/>
                <c:pt idx="0">
                  <c:v>2014 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graphs'!$C$62:$S$62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graphs'!$C$75:$S$75</c:f>
              <c:numCache>
                <c:formatCode>General</c:formatCode>
                <c:ptCount val="17"/>
                <c:pt idx="10" formatCode="0.0">
                  <c:v>0.8</c:v>
                </c:pt>
                <c:pt idx="11" formatCode="0.0">
                  <c:v>2.4</c:v>
                </c:pt>
                <c:pt idx="12" formatCode="0.0">
                  <c:v>2.5</c:v>
                </c:pt>
                <c:pt idx="13" formatCode="0.0">
                  <c:v>2.5</c:v>
                </c:pt>
              </c:numCache>
            </c:numRef>
          </c:yVal>
          <c:smooth val="0"/>
        </c:ser>
        <c:ser>
          <c:idx val="15"/>
          <c:order val="12"/>
          <c:tx>
            <c:strRef>
              <c:f>'MoF graphs'!$A$76:$B$76</c:f>
              <c:strCache>
                <c:ptCount val="1"/>
                <c:pt idx="0">
                  <c:v>2015 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graphs'!$C$62:$S$62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graphs'!$C$76:$S$76</c:f>
              <c:numCache>
                <c:formatCode>General</c:formatCode>
                <c:ptCount val="17"/>
                <c:pt idx="11" formatCode="0.0">
                  <c:v>0.8</c:v>
                </c:pt>
                <c:pt idx="12" formatCode="0.0">
                  <c:v>2</c:v>
                </c:pt>
                <c:pt idx="13" formatCode="0.0">
                  <c:v>2.5</c:v>
                </c:pt>
                <c:pt idx="14" formatCode="0.0">
                  <c:v>2.5</c:v>
                </c:pt>
              </c:numCache>
            </c:numRef>
          </c:yVal>
          <c:smooth val="0"/>
        </c:ser>
        <c:ser>
          <c:idx val="16"/>
          <c:order val="13"/>
          <c:tx>
            <c:strRef>
              <c:f>'MoF graphs'!$A$77:$B$77</c:f>
              <c:strCache>
                <c:ptCount val="1"/>
                <c:pt idx="0">
                  <c:v>2016 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graphs'!$C$62:$S$62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graphs'!$C$77:$S$77</c:f>
              <c:numCache>
                <c:formatCode>General</c:formatCode>
                <c:ptCount val="17"/>
                <c:pt idx="12" formatCode="0.0">
                  <c:v>0</c:v>
                </c:pt>
                <c:pt idx="13" formatCode="0.0">
                  <c:v>1.6</c:v>
                </c:pt>
                <c:pt idx="14" formatCode="0.0">
                  <c:v>2</c:v>
                </c:pt>
                <c:pt idx="15" formatCode="0.0">
                  <c:v>2.5</c:v>
                </c:pt>
              </c:numCache>
            </c:numRef>
          </c:yVal>
          <c:smooth val="0"/>
        </c:ser>
        <c:ser>
          <c:idx val="1"/>
          <c:order val="14"/>
          <c:tx>
            <c:strRef>
              <c:f>'MoF graphs'!$A$78:$B$78</c:f>
              <c:strCache>
                <c:ptCount val="1"/>
                <c:pt idx="0">
                  <c:v>2017 Inflation (PCI)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2.6241334105889275E-2"/>
                  <c:y val="7.3016063239660187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6241334105889167E-2"/>
                  <c:y val="4.9235117581929902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'MoF graphs'!$C$62:$S$62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graphs'!$C$78:$S$78</c:f>
              <c:numCache>
                <c:formatCode>General</c:formatCode>
                <c:ptCount val="17"/>
                <c:pt idx="13" formatCode="0.0">
                  <c:v>2.8</c:v>
                </c:pt>
                <c:pt idx="14" formatCode="0.0">
                  <c:v>2.8</c:v>
                </c:pt>
                <c:pt idx="15" formatCode="0.0">
                  <c:v>2.4</c:v>
                </c:pt>
                <c:pt idx="16" formatCode="0.0">
                  <c:v>2.1</c:v>
                </c:pt>
              </c:numCache>
            </c:numRef>
          </c:yVal>
          <c:smooth val="0"/>
        </c:ser>
        <c:ser>
          <c:idx val="2"/>
          <c:order val="15"/>
          <c:tx>
            <c:strRef>
              <c:f>'MoF graphs'!$B$64</c:f>
              <c:strCache>
                <c:ptCount val="1"/>
                <c:pt idx="0">
                  <c:v>Ministry of Finance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2857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graphs'!$C$62:$S$62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graphs'!$C$64:$S$64</c:f>
              <c:numCache>
                <c:formatCode>0.0</c:formatCode>
                <c:ptCount val="17"/>
                <c:pt idx="13" formatCode="General">
                  <c:v>2.8</c:v>
                </c:pt>
              </c:numCache>
            </c:numRef>
          </c:yVal>
          <c:smooth val="0"/>
        </c:ser>
        <c:ser>
          <c:idx val="3"/>
          <c:order val="16"/>
          <c:tx>
            <c:strRef>
              <c:f>'MoF graphs'!$B$2</c:f>
              <c:strCache>
                <c:ptCount val="1"/>
                <c:pt idx="0">
                  <c:v>0</c:v>
                </c:pt>
              </c:strCache>
            </c:strRef>
          </c:tx>
          <c:spPr>
            <a:ln w="3175" cap="rnd">
              <a:solidFill>
                <a:schemeClr val="bg2">
                  <a:lumMod val="1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graphs'!$C$2:$S$2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'MoF graphs'!$C$1:$S$1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237184"/>
        <c:axId val="174238720"/>
      </c:scatterChart>
      <c:valAx>
        <c:axId val="174237184"/>
        <c:scaling>
          <c:orientation val="minMax"/>
        </c:scaling>
        <c:delete val="1"/>
        <c:axPos val="b"/>
        <c:majorTickMark val="none"/>
        <c:minorTickMark val="none"/>
        <c:tickLblPos val="nextTo"/>
        <c:crossAx val="174238720"/>
        <c:crosses val="autoZero"/>
        <c:crossBetween val="midCat"/>
      </c:valAx>
      <c:valAx>
        <c:axId val="17423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37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Special budget revenues: forecasts and actual outcome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'Budget forecasts'!$A$28</c:f>
              <c:strCache>
                <c:ptCount val="1"/>
                <c:pt idx="0">
                  <c:v>Actual outcome, special budget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'Budget forecasts'!$B$27:$R$27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forecasts'!$B$28:$R$28</c:f>
              <c:numCache>
                <c:formatCode>#,##0</c:formatCode>
                <c:ptCount val="17"/>
                <c:pt idx="0">
                  <c:v>936194892</c:v>
                </c:pt>
                <c:pt idx="1">
                  <c:v>1094568283</c:v>
                </c:pt>
                <c:pt idx="2">
                  <c:v>1394951857</c:v>
                </c:pt>
                <c:pt idx="3">
                  <c:v>1838465587</c:v>
                </c:pt>
                <c:pt idx="4">
                  <c:v>2050538407</c:v>
                </c:pt>
                <c:pt idx="5">
                  <c:v>1776399657</c:v>
                </c:pt>
                <c:pt idx="6">
                  <c:v>1676295998</c:v>
                </c:pt>
                <c:pt idx="7">
                  <c:v>1785516533</c:v>
                </c:pt>
                <c:pt idx="8">
                  <c:v>1924682582</c:v>
                </c:pt>
                <c:pt idx="9">
                  <c:v>2036256899</c:v>
                </c:pt>
                <c:pt idx="10">
                  <c:v>2222106328</c:v>
                </c:pt>
                <c:pt idx="11">
                  <c:v>2294241041</c:v>
                </c:pt>
                <c:pt idx="12">
                  <c:v>2338136366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765-4CB0-91BF-0E77E3C2D0BA}"/>
            </c:ext>
          </c:extLst>
        </c:ser>
        <c:ser>
          <c:idx val="3"/>
          <c:order val="1"/>
          <c:tx>
            <c:strRef>
              <c:f>'Budget forecasts'!$A$29</c:f>
              <c:strCache>
                <c:ptCount val="1"/>
                <c:pt idx="0">
                  <c:v>Budget Law, special budget revenues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forecasts'!$B$27:$R$27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forecasts'!$B$29:$R$29</c:f>
              <c:numCache>
                <c:formatCode>#,##0</c:formatCode>
                <c:ptCount val="17"/>
                <c:pt idx="0">
                  <c:v>878093155.4174422</c:v>
                </c:pt>
                <c:pt idx="1">
                  <c:v>1017063781.6517835</c:v>
                </c:pt>
                <c:pt idx="2">
                  <c:v>1222246885.3336065</c:v>
                </c:pt>
                <c:pt idx="3">
                  <c:v>1536986129.8455899</c:v>
                </c:pt>
                <c:pt idx="4">
                  <c:v>1974234637.2530606</c:v>
                </c:pt>
                <c:pt idx="5">
                  <c:v>2534846130.6423984</c:v>
                </c:pt>
                <c:pt idx="6">
                  <c:v>1691225434.1181896</c:v>
                </c:pt>
                <c:pt idx="7">
                  <c:v>1704031280.4138849</c:v>
                </c:pt>
                <c:pt idx="8">
                  <c:v>1805624327.6930695</c:v>
                </c:pt>
                <c:pt idx="9">
                  <c:v>1948196083.1184797</c:v>
                </c:pt>
                <c:pt idx="10">
                  <c:v>2206700000</c:v>
                </c:pt>
                <c:pt idx="11">
                  <c:v>2309900000</c:v>
                </c:pt>
                <c:pt idx="12">
                  <c:v>2347200000</c:v>
                </c:pt>
                <c:pt idx="13">
                  <c:v>2486100000</c:v>
                </c:pt>
                <c:pt idx="14">
                  <c:v>2777100000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765-4CB0-91BF-0E77E3C2D0BA}"/>
            </c:ext>
          </c:extLst>
        </c:ser>
        <c:ser>
          <c:idx val="4"/>
          <c:order val="2"/>
          <c:tx>
            <c:strRef>
              <c:f>'Budget forecasts'!$A$30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forecasts'!$B$27:$R$27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forecasts'!$B$30:$R$30</c:f>
              <c:numCache>
                <c:formatCode>#,##0</c:formatCode>
                <c:ptCount val="17"/>
                <c:pt idx="0">
                  <c:v>878093155.4174422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765-4CB0-91BF-0E77E3C2D0BA}"/>
            </c:ext>
          </c:extLst>
        </c:ser>
        <c:ser>
          <c:idx val="5"/>
          <c:order val="3"/>
          <c:tx>
            <c:strRef>
              <c:f>'Budget forecasts'!$A$31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forecasts'!$B$27:$R$27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forecasts'!$B$31:$R$31</c:f>
              <c:numCache>
                <c:formatCode>#,##0</c:formatCode>
                <c:ptCount val="17"/>
                <c:pt idx="1">
                  <c:v>1017063781.6517835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765-4CB0-91BF-0E77E3C2D0BA}"/>
            </c:ext>
          </c:extLst>
        </c:ser>
        <c:ser>
          <c:idx val="6"/>
          <c:order val="4"/>
          <c:tx>
            <c:strRef>
              <c:f>'Budget forecasts'!$A$32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forecasts'!$B$27:$R$27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forecasts'!$B$32:$R$32</c:f>
              <c:numCache>
                <c:formatCode>#,##0</c:formatCode>
                <c:ptCount val="17"/>
                <c:pt idx="2">
                  <c:v>1222246885.3336065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765-4CB0-91BF-0E77E3C2D0BA}"/>
            </c:ext>
          </c:extLst>
        </c:ser>
        <c:ser>
          <c:idx val="7"/>
          <c:order val="5"/>
          <c:tx>
            <c:strRef>
              <c:f>'Budget forecasts'!$A$33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forecasts'!$B$27:$R$27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forecasts'!$B$33:$R$33</c:f>
              <c:numCache>
                <c:formatCode>#,##0</c:formatCode>
                <c:ptCount val="17"/>
                <c:pt idx="3">
                  <c:v>1536986129.8455899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765-4CB0-91BF-0E77E3C2D0BA}"/>
            </c:ext>
          </c:extLst>
        </c:ser>
        <c:ser>
          <c:idx val="8"/>
          <c:order val="6"/>
          <c:tx>
            <c:strRef>
              <c:f>'Budget forecasts'!$A$34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forecasts'!$B$27:$R$27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forecasts'!$B$34:$R$34</c:f>
              <c:numCache>
                <c:formatCode>#,##0</c:formatCode>
                <c:ptCount val="17"/>
                <c:pt idx="4">
                  <c:v>1974234637.2530606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765-4CB0-91BF-0E77E3C2D0BA}"/>
            </c:ext>
          </c:extLst>
        </c:ser>
        <c:ser>
          <c:idx val="9"/>
          <c:order val="7"/>
          <c:tx>
            <c:strRef>
              <c:f>'Budget forecasts'!$A$35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forecasts'!$B$27:$R$27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forecasts'!$B$35:$R$35</c:f>
              <c:numCache>
                <c:formatCode>#,##0</c:formatCode>
                <c:ptCount val="17"/>
                <c:pt idx="5">
                  <c:v>2534846130.6423984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765-4CB0-91BF-0E77E3C2D0BA}"/>
            </c:ext>
          </c:extLst>
        </c:ser>
        <c:ser>
          <c:idx val="10"/>
          <c:order val="8"/>
          <c:tx>
            <c:strRef>
              <c:f>'Budget forecasts'!$A$36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forecasts'!$B$27:$R$27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forecasts'!$B$36:$R$36</c:f>
              <c:numCache>
                <c:formatCode>#,##0</c:formatCode>
                <c:ptCount val="17"/>
                <c:pt idx="6">
                  <c:v>1691225434.1181896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8765-4CB0-91BF-0E77E3C2D0BA}"/>
            </c:ext>
          </c:extLst>
        </c:ser>
        <c:ser>
          <c:idx val="11"/>
          <c:order val="9"/>
          <c:tx>
            <c:strRef>
              <c:f>'Budget forecasts'!$A$37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forecasts'!$B$27:$R$27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forecasts'!$B$37:$R$37</c:f>
              <c:numCache>
                <c:formatCode>#,##0</c:formatCode>
                <c:ptCount val="17"/>
                <c:pt idx="7">
                  <c:v>1704031280.4138849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8765-4CB0-91BF-0E77E3C2D0BA}"/>
            </c:ext>
          </c:extLst>
        </c:ser>
        <c:ser>
          <c:idx val="12"/>
          <c:order val="10"/>
          <c:tx>
            <c:strRef>
              <c:f>'Budget forecasts'!$A$38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forecasts'!$B$27:$R$27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forecasts'!$B$38:$R$38</c:f>
              <c:numCache>
                <c:formatCode>#,##0</c:formatCode>
                <c:ptCount val="17"/>
                <c:pt idx="8">
                  <c:v>1805624327.6930695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8765-4CB0-91BF-0E77E3C2D0BA}"/>
            </c:ext>
          </c:extLst>
        </c:ser>
        <c:ser>
          <c:idx val="13"/>
          <c:order val="11"/>
          <c:tx>
            <c:strRef>
              <c:f>'Budget forecasts'!$A$39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forecasts'!$B$27:$R$27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forecasts'!$B$39:$R$39</c:f>
              <c:numCache>
                <c:formatCode>#,##0</c:formatCode>
                <c:ptCount val="17"/>
                <c:pt idx="9">
                  <c:v>1948196083.1184797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8765-4CB0-91BF-0E77E3C2D0BA}"/>
            </c:ext>
          </c:extLst>
        </c:ser>
        <c:ser>
          <c:idx val="14"/>
          <c:order val="12"/>
          <c:tx>
            <c:strRef>
              <c:f>'Budget forecasts'!$A$40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forecasts'!$B$27:$R$27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forecasts'!$B$40:$R$40</c:f>
              <c:numCache>
                <c:formatCode>#,##0</c:formatCode>
                <c:ptCount val="17"/>
                <c:pt idx="10">
                  <c:v>2206700000</c:v>
                </c:pt>
                <c:pt idx="11">
                  <c:v>2248500000</c:v>
                </c:pt>
                <c:pt idx="12">
                  <c:v>2289300000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8765-4CB0-91BF-0E77E3C2D0BA}"/>
            </c:ext>
          </c:extLst>
        </c:ser>
        <c:ser>
          <c:idx val="15"/>
          <c:order val="13"/>
          <c:tx>
            <c:strRef>
              <c:f>'Budget forecasts'!$A$41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forecasts'!$B$27:$R$27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forecasts'!$B$41:$R$41</c:f>
              <c:numCache>
                <c:formatCode>#,##0</c:formatCode>
                <c:ptCount val="17"/>
                <c:pt idx="11">
                  <c:v>2309900000</c:v>
                </c:pt>
                <c:pt idx="12">
                  <c:v>2347300000</c:v>
                </c:pt>
                <c:pt idx="13">
                  <c:v>2451700000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8765-4CB0-91BF-0E77E3C2D0BA}"/>
            </c:ext>
          </c:extLst>
        </c:ser>
        <c:ser>
          <c:idx val="16"/>
          <c:order val="14"/>
          <c:tx>
            <c:strRef>
              <c:f>'Budget forecasts'!$A$42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forecasts'!$B$27:$R$27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forecasts'!$B$42:$R$42</c:f>
              <c:numCache>
                <c:formatCode>#,##0</c:formatCode>
                <c:ptCount val="17"/>
                <c:pt idx="12">
                  <c:v>2347200000</c:v>
                </c:pt>
                <c:pt idx="13">
                  <c:v>2483800000</c:v>
                </c:pt>
                <c:pt idx="14">
                  <c:v>2645300000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8765-4CB0-91BF-0E77E3C2D0BA}"/>
            </c:ext>
          </c:extLst>
        </c:ser>
        <c:ser>
          <c:idx val="1"/>
          <c:order val="15"/>
          <c:tx>
            <c:strRef>
              <c:f>'Budget forecasts'!$A$43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forecasts'!$B$27:$R$27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forecasts'!$B$43:$R$43</c:f>
              <c:numCache>
                <c:formatCode>#,##0</c:formatCode>
                <c:ptCount val="17"/>
                <c:pt idx="13">
                  <c:v>2486100000</c:v>
                </c:pt>
                <c:pt idx="14">
                  <c:v>2653700000</c:v>
                </c:pt>
                <c:pt idx="15">
                  <c:v>2796300000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8765-4CB0-91BF-0E77E3C2D0BA}"/>
            </c:ext>
          </c:extLst>
        </c:ser>
        <c:ser>
          <c:idx val="2"/>
          <c:order val="16"/>
          <c:tx>
            <c:strRef>
              <c:f>'Budget forecasts'!$A$44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forecasts'!$B$27:$R$27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forecasts'!$B$44:$R$44</c:f>
              <c:numCache>
                <c:formatCode>#,##0</c:formatCode>
                <c:ptCount val="17"/>
                <c:pt idx="14">
                  <c:v>2777100000</c:v>
                </c:pt>
                <c:pt idx="15">
                  <c:v>2935100000</c:v>
                </c:pt>
                <c:pt idx="16">
                  <c:v>3101400000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8765-4CB0-91BF-0E77E3C2D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830464"/>
        <c:axId val="213532672"/>
      </c:scatterChart>
      <c:valAx>
        <c:axId val="21283046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213532672"/>
        <c:crosses val="autoZero"/>
        <c:crossBetween val="midCat"/>
      </c:valAx>
      <c:valAx>
        <c:axId val="21353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30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Basic budget revenues: forecasts and actual outcome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'Budget forecasts'!$A$3</c:f>
              <c:strCache>
                <c:ptCount val="1"/>
                <c:pt idx="0">
                  <c:v>Actual outcome, basic budget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'Budget forecasts'!$B$2:$R$2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forecasts'!$B$3:$R$3</c:f>
              <c:numCache>
                <c:formatCode>#,##0</c:formatCode>
                <c:ptCount val="17"/>
                <c:pt idx="0">
                  <c:v>2010326873</c:v>
                </c:pt>
                <c:pt idx="1">
                  <c:v>2672670225</c:v>
                </c:pt>
                <c:pt idx="2">
                  <c:v>3324866956</c:v>
                </c:pt>
                <c:pt idx="3">
                  <c:v>4427955782</c:v>
                </c:pt>
                <c:pt idx="4">
                  <c:v>4615593590</c:v>
                </c:pt>
                <c:pt idx="5">
                  <c:v>3801330772</c:v>
                </c:pt>
                <c:pt idx="6">
                  <c:v>3731832098</c:v>
                </c:pt>
                <c:pt idx="7">
                  <c:v>4139391496</c:v>
                </c:pt>
                <c:pt idx="8">
                  <c:v>4845860310</c:v>
                </c:pt>
                <c:pt idx="9">
                  <c:v>4839749880</c:v>
                </c:pt>
                <c:pt idx="10">
                  <c:v>4939232197</c:v>
                </c:pt>
                <c:pt idx="11">
                  <c:v>5093098527</c:v>
                </c:pt>
                <c:pt idx="12">
                  <c:v>5161405224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C4-4E76-B8B8-195451F39C5E}"/>
            </c:ext>
          </c:extLst>
        </c:ser>
        <c:ser>
          <c:idx val="3"/>
          <c:order val="1"/>
          <c:tx>
            <c:strRef>
              <c:f>'Budget forecasts'!$A$4</c:f>
              <c:strCache>
                <c:ptCount val="1"/>
                <c:pt idx="0">
                  <c:v>Budget Law, basic budget revenues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forecasts'!$B$2:$R$2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forecasts'!$B$4:$R$4</c:f>
              <c:numCache>
                <c:formatCode>#,##0</c:formatCode>
                <c:ptCount val="17"/>
                <c:pt idx="0">
                  <c:v>1888236802.8639565</c:v>
                </c:pt>
                <c:pt idx="1">
                  <c:v>2669114403.1621904</c:v>
                </c:pt>
                <c:pt idx="2">
                  <c:v>3406781976.1982002</c:v>
                </c:pt>
                <c:pt idx="3">
                  <c:v>4489160562.5465994</c:v>
                </c:pt>
                <c:pt idx="4">
                  <c:v>5874326270.1976652</c:v>
                </c:pt>
                <c:pt idx="5">
                  <c:v>5261210806.9959764</c:v>
                </c:pt>
                <c:pt idx="6">
                  <c:v>3733469847.5591145</c:v>
                </c:pt>
                <c:pt idx="7">
                  <c:v>4228205872.4765368</c:v>
                </c:pt>
                <c:pt idx="8">
                  <c:v>4652506246.4072485</c:v>
                </c:pt>
                <c:pt idx="9">
                  <c:v>4742716319.2013702</c:v>
                </c:pt>
                <c:pt idx="10">
                  <c:v>5047200000</c:v>
                </c:pt>
                <c:pt idx="11">
                  <c:v>5154000000</c:v>
                </c:pt>
                <c:pt idx="12">
                  <c:v>5247700000</c:v>
                </c:pt>
                <c:pt idx="13">
                  <c:v>5720400000</c:v>
                </c:pt>
                <c:pt idx="14">
                  <c:v>6160500000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4C4-4E76-B8B8-195451F39C5E}"/>
            </c:ext>
          </c:extLst>
        </c:ser>
        <c:ser>
          <c:idx val="4"/>
          <c:order val="2"/>
          <c:tx>
            <c:strRef>
              <c:f>'Budget forecasts'!$A$5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forecasts'!$B$2:$R$2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forecasts'!$B$5:$R$5</c:f>
              <c:numCache>
                <c:formatCode>#,##0</c:formatCode>
                <c:ptCount val="17"/>
                <c:pt idx="0">
                  <c:v>1888236802.8639565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4C4-4E76-B8B8-195451F39C5E}"/>
            </c:ext>
          </c:extLst>
        </c:ser>
        <c:ser>
          <c:idx val="5"/>
          <c:order val="3"/>
          <c:tx>
            <c:strRef>
              <c:f>'Budget forecasts'!$A$6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forecasts'!$B$2:$R$2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forecasts'!$B$6:$R$6</c:f>
              <c:numCache>
                <c:formatCode>#,##0</c:formatCode>
                <c:ptCount val="17"/>
                <c:pt idx="1">
                  <c:v>2669114403.1621904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4C4-4E76-B8B8-195451F39C5E}"/>
            </c:ext>
          </c:extLst>
        </c:ser>
        <c:ser>
          <c:idx val="6"/>
          <c:order val="4"/>
          <c:tx>
            <c:strRef>
              <c:f>'Budget forecasts'!$A$7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forecasts'!$B$2:$R$2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forecasts'!$B$7:$R$7</c:f>
              <c:numCache>
                <c:formatCode>#,##0</c:formatCode>
                <c:ptCount val="17"/>
                <c:pt idx="2">
                  <c:v>3406781976.1982002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4C4-4E76-B8B8-195451F39C5E}"/>
            </c:ext>
          </c:extLst>
        </c:ser>
        <c:ser>
          <c:idx val="7"/>
          <c:order val="5"/>
          <c:tx>
            <c:strRef>
              <c:f>'Budget forecasts'!$A$8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forecasts'!$B$2:$R$2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forecasts'!$B$8:$R$8</c:f>
              <c:numCache>
                <c:formatCode>#,##0</c:formatCode>
                <c:ptCount val="17"/>
                <c:pt idx="3">
                  <c:v>4489160562.5465994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4C4-4E76-B8B8-195451F39C5E}"/>
            </c:ext>
          </c:extLst>
        </c:ser>
        <c:ser>
          <c:idx val="8"/>
          <c:order val="6"/>
          <c:tx>
            <c:strRef>
              <c:f>'Budget forecasts'!$A$9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forecasts'!$B$2:$R$2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forecasts'!$B$9:$R$9</c:f>
              <c:numCache>
                <c:formatCode>#,##0</c:formatCode>
                <c:ptCount val="17"/>
                <c:pt idx="4">
                  <c:v>5874326270.1976652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4C4-4E76-B8B8-195451F39C5E}"/>
            </c:ext>
          </c:extLst>
        </c:ser>
        <c:ser>
          <c:idx val="9"/>
          <c:order val="7"/>
          <c:tx>
            <c:strRef>
              <c:f>'Budget forecasts'!$A$10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forecasts'!$B$2:$R$2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forecasts'!$B$10:$R$10</c:f>
              <c:numCache>
                <c:formatCode>#,##0</c:formatCode>
                <c:ptCount val="17"/>
                <c:pt idx="5">
                  <c:v>5261210806.9959764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94C4-4E76-B8B8-195451F39C5E}"/>
            </c:ext>
          </c:extLst>
        </c:ser>
        <c:ser>
          <c:idx val="10"/>
          <c:order val="8"/>
          <c:tx>
            <c:strRef>
              <c:f>'Budget forecasts'!$A$11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forecasts'!$B$2:$R$2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forecasts'!$B$11:$R$11</c:f>
              <c:numCache>
                <c:formatCode>#,##0</c:formatCode>
                <c:ptCount val="17"/>
                <c:pt idx="6">
                  <c:v>3733469847.5591145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94C4-4E76-B8B8-195451F39C5E}"/>
            </c:ext>
          </c:extLst>
        </c:ser>
        <c:ser>
          <c:idx val="11"/>
          <c:order val="9"/>
          <c:tx>
            <c:strRef>
              <c:f>'Budget forecasts'!$A$12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forecasts'!$B$2:$R$2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forecasts'!$B$12:$R$12</c:f>
              <c:numCache>
                <c:formatCode>#,##0</c:formatCode>
                <c:ptCount val="17"/>
                <c:pt idx="7">
                  <c:v>4228205872.4765368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94C4-4E76-B8B8-195451F39C5E}"/>
            </c:ext>
          </c:extLst>
        </c:ser>
        <c:ser>
          <c:idx val="12"/>
          <c:order val="10"/>
          <c:tx>
            <c:strRef>
              <c:f>'Budget forecasts'!$A$13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forecasts'!$B$2:$R$2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forecasts'!$B$13:$R$13</c:f>
              <c:numCache>
                <c:formatCode>#,##0</c:formatCode>
                <c:ptCount val="17"/>
                <c:pt idx="8">
                  <c:v>4652506246.4072485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94C4-4E76-B8B8-195451F39C5E}"/>
            </c:ext>
          </c:extLst>
        </c:ser>
        <c:ser>
          <c:idx val="13"/>
          <c:order val="11"/>
          <c:tx>
            <c:strRef>
              <c:f>'Budget forecasts'!$A$14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forecasts'!$B$2:$R$2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forecasts'!$B$14:$R$14</c:f>
              <c:numCache>
                <c:formatCode>#,##0</c:formatCode>
                <c:ptCount val="17"/>
                <c:pt idx="9">
                  <c:v>4742716319.2013702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94C4-4E76-B8B8-195451F39C5E}"/>
            </c:ext>
          </c:extLst>
        </c:ser>
        <c:ser>
          <c:idx val="14"/>
          <c:order val="12"/>
          <c:tx>
            <c:strRef>
              <c:f>'Budget forecasts'!$A$15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forecasts'!$B$2:$R$2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forecasts'!$B$15:$R$15</c:f>
              <c:numCache>
                <c:formatCode>#,##0</c:formatCode>
                <c:ptCount val="17"/>
                <c:pt idx="10">
                  <c:v>5047200000</c:v>
                </c:pt>
                <c:pt idx="11">
                  <c:v>5406100000</c:v>
                </c:pt>
                <c:pt idx="12">
                  <c:v>4963400000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94C4-4E76-B8B8-195451F39C5E}"/>
            </c:ext>
          </c:extLst>
        </c:ser>
        <c:ser>
          <c:idx val="15"/>
          <c:order val="13"/>
          <c:tx>
            <c:strRef>
              <c:f>'Budget forecasts'!$A$16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forecasts'!$B$2:$R$2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forecasts'!$B$16:$R$16</c:f>
              <c:numCache>
                <c:formatCode>#,##0</c:formatCode>
                <c:ptCount val="17"/>
                <c:pt idx="11">
                  <c:v>5154000000</c:v>
                </c:pt>
                <c:pt idx="12">
                  <c:v>5182100000</c:v>
                </c:pt>
                <c:pt idx="13">
                  <c:v>5228300000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4C4-4E76-B8B8-195451F39C5E}"/>
            </c:ext>
          </c:extLst>
        </c:ser>
        <c:ser>
          <c:idx val="16"/>
          <c:order val="14"/>
          <c:tx>
            <c:strRef>
              <c:f>'Budget forecasts'!$A$17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forecasts'!$B$2:$R$2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forecasts'!$B$17:$R$17</c:f>
              <c:numCache>
                <c:formatCode>#,##0</c:formatCode>
                <c:ptCount val="17"/>
                <c:pt idx="12">
                  <c:v>5247700000</c:v>
                </c:pt>
                <c:pt idx="13">
                  <c:v>5572900000</c:v>
                </c:pt>
                <c:pt idx="14">
                  <c:v>6244200000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94C4-4E76-B8B8-195451F39C5E}"/>
            </c:ext>
          </c:extLst>
        </c:ser>
        <c:ser>
          <c:idx val="1"/>
          <c:order val="15"/>
          <c:tx>
            <c:strRef>
              <c:f>'Budget forecasts'!$A$18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forecasts'!$B$2:$R$2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forecasts'!$B$18:$R$18</c:f>
              <c:numCache>
                <c:formatCode>#,##0</c:formatCode>
                <c:ptCount val="17"/>
                <c:pt idx="13">
                  <c:v>5720400000</c:v>
                </c:pt>
                <c:pt idx="14">
                  <c:v>6316500000</c:v>
                </c:pt>
                <c:pt idx="15">
                  <c:v>6302300000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94C4-4E76-B8B8-195451F39C5E}"/>
            </c:ext>
          </c:extLst>
        </c:ser>
        <c:ser>
          <c:idx val="2"/>
          <c:order val="16"/>
          <c:tx>
            <c:strRef>
              <c:f>'Budget forecasts'!$A$19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forecasts'!$B$2:$R$2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forecasts'!$B$19:$R$19</c:f>
              <c:numCache>
                <c:formatCode>#,##0</c:formatCode>
                <c:ptCount val="17"/>
                <c:pt idx="14">
                  <c:v>6160500000</c:v>
                </c:pt>
                <c:pt idx="15">
                  <c:v>6386200000</c:v>
                </c:pt>
                <c:pt idx="16">
                  <c:v>6971000000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94C4-4E76-B8B8-195451F39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647360"/>
        <c:axId val="213648896"/>
      </c:scatterChart>
      <c:valAx>
        <c:axId val="21364736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213648896"/>
        <c:crosses val="autoZero"/>
        <c:crossBetween val="midCat"/>
      </c:valAx>
      <c:valAx>
        <c:axId val="2136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647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Basic budget revenues: forecasts and actual outcome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'Budget forecasts'!$H$2:$R$2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forecasts'!$H$3:$R$3</c:f>
              <c:numCache>
                <c:formatCode>#,##0</c:formatCode>
                <c:ptCount val="11"/>
                <c:pt idx="0">
                  <c:v>3731832098</c:v>
                </c:pt>
                <c:pt idx="1">
                  <c:v>4139391496</c:v>
                </c:pt>
                <c:pt idx="2">
                  <c:v>4845860310</c:v>
                </c:pt>
                <c:pt idx="3">
                  <c:v>4839749880</c:v>
                </c:pt>
                <c:pt idx="4">
                  <c:v>4939232197</c:v>
                </c:pt>
                <c:pt idx="5">
                  <c:v>5093098527</c:v>
                </c:pt>
                <c:pt idx="6">
                  <c:v>5161405224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CCA-446D-97DA-4A023EFFDB79}"/>
            </c:ext>
          </c:extLst>
        </c:ser>
        <c:ser>
          <c:idx val="3"/>
          <c:order val="1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forecasts'!$H$2:$R$2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forecasts'!$H$4:$R$4</c:f>
              <c:numCache>
                <c:formatCode>#,##0</c:formatCode>
                <c:ptCount val="11"/>
                <c:pt idx="0">
                  <c:v>3733469847.5591145</c:v>
                </c:pt>
                <c:pt idx="1">
                  <c:v>4228205872.4765368</c:v>
                </c:pt>
                <c:pt idx="2">
                  <c:v>4652506246.4072485</c:v>
                </c:pt>
                <c:pt idx="3">
                  <c:v>4742716319.2013702</c:v>
                </c:pt>
                <c:pt idx="4">
                  <c:v>5047200000</c:v>
                </c:pt>
                <c:pt idx="5">
                  <c:v>5154000000</c:v>
                </c:pt>
                <c:pt idx="6">
                  <c:v>5247700000</c:v>
                </c:pt>
                <c:pt idx="7">
                  <c:v>5720400000</c:v>
                </c:pt>
                <c:pt idx="8">
                  <c:v>6160500000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CCA-446D-97DA-4A023EFFDB79}"/>
            </c:ext>
          </c:extLst>
        </c:ser>
        <c:ser>
          <c:idx val="4"/>
          <c:order val="2"/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forecasts'!$H$2:$R$2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forecasts'!$H$5:$R$5</c:f>
              <c:numCache>
                <c:formatCode>#,##0</c:formatCode>
                <c:ptCount val="1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CCA-446D-97DA-4A023EFFDB79}"/>
            </c:ext>
          </c:extLst>
        </c:ser>
        <c:ser>
          <c:idx val="5"/>
          <c:order val="3"/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forecasts'!$H$2:$R$2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forecasts'!$H$6:$R$6</c:f>
              <c:numCache>
                <c:formatCode>#,##0</c:formatCode>
                <c:ptCount val="1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CCA-446D-97DA-4A023EFFDB79}"/>
            </c:ext>
          </c:extLst>
        </c:ser>
        <c:ser>
          <c:idx val="6"/>
          <c:order val="4"/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forecasts'!$H$2:$R$2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forecasts'!$H$7:$R$7</c:f>
              <c:numCache>
                <c:formatCode>#,##0</c:formatCode>
                <c:ptCount val="1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CCA-446D-97DA-4A023EFFDB79}"/>
            </c:ext>
          </c:extLst>
        </c:ser>
        <c:ser>
          <c:idx val="7"/>
          <c:order val="5"/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forecasts'!$H$2:$R$2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forecasts'!$H$8:$R$8</c:f>
              <c:numCache>
                <c:formatCode>#,##0</c:formatCode>
                <c:ptCount val="1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CCA-446D-97DA-4A023EFFDB79}"/>
            </c:ext>
          </c:extLst>
        </c:ser>
        <c:ser>
          <c:idx val="8"/>
          <c:order val="6"/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forecasts'!$H$2:$R$2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forecasts'!$H$9:$R$9</c:f>
              <c:numCache>
                <c:formatCode>#,##0</c:formatCode>
                <c:ptCount val="1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CCA-446D-97DA-4A023EFFDB79}"/>
            </c:ext>
          </c:extLst>
        </c:ser>
        <c:ser>
          <c:idx val="9"/>
          <c:order val="7"/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forecasts'!$H$2:$R$2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forecasts'!$H$10:$R$10</c:f>
              <c:numCache>
                <c:formatCode>#,##0</c:formatCode>
                <c:ptCount val="1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DCCA-446D-97DA-4A023EFFDB79}"/>
            </c:ext>
          </c:extLst>
        </c:ser>
        <c:ser>
          <c:idx val="10"/>
          <c:order val="8"/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forecasts'!$H$2:$R$2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forecasts'!$H$11:$R$11</c:f>
              <c:numCache>
                <c:formatCode>#,##0</c:formatCode>
                <c:ptCount val="11"/>
                <c:pt idx="0">
                  <c:v>3733469847.5591145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DCCA-446D-97DA-4A023EFFDB79}"/>
            </c:ext>
          </c:extLst>
        </c:ser>
        <c:ser>
          <c:idx val="11"/>
          <c:order val="9"/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forecasts'!$H$2:$R$2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forecasts'!$H$12:$R$12</c:f>
              <c:numCache>
                <c:formatCode>#,##0</c:formatCode>
                <c:ptCount val="11"/>
                <c:pt idx="1">
                  <c:v>4228205872.4765368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DCCA-446D-97DA-4A023EFFDB79}"/>
            </c:ext>
          </c:extLst>
        </c:ser>
        <c:ser>
          <c:idx val="12"/>
          <c:order val="10"/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forecasts'!$H$2:$R$2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forecasts'!$H$13:$R$13</c:f>
              <c:numCache>
                <c:formatCode>#,##0</c:formatCode>
                <c:ptCount val="11"/>
                <c:pt idx="2">
                  <c:v>4652506246.4072485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DCCA-446D-97DA-4A023EFFDB79}"/>
            </c:ext>
          </c:extLst>
        </c:ser>
        <c:ser>
          <c:idx val="13"/>
          <c:order val="11"/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forecasts'!$H$2:$R$2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forecasts'!$H$14:$R$14</c:f>
              <c:numCache>
                <c:formatCode>#,##0</c:formatCode>
                <c:ptCount val="11"/>
                <c:pt idx="3">
                  <c:v>4742716319.2013702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DCCA-446D-97DA-4A023EFFDB79}"/>
            </c:ext>
          </c:extLst>
        </c:ser>
        <c:ser>
          <c:idx val="14"/>
          <c:order val="12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forecasts'!$H$2:$R$2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forecasts'!$H$15:$R$15</c:f>
              <c:numCache>
                <c:formatCode>#,##0</c:formatCode>
                <c:ptCount val="11"/>
                <c:pt idx="4">
                  <c:v>5047200000</c:v>
                </c:pt>
                <c:pt idx="5">
                  <c:v>5406100000</c:v>
                </c:pt>
                <c:pt idx="6">
                  <c:v>4963400000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DCCA-446D-97DA-4A023EFFDB79}"/>
            </c:ext>
          </c:extLst>
        </c:ser>
        <c:ser>
          <c:idx val="15"/>
          <c:order val="13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forecasts'!$H$2:$R$2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forecasts'!$H$16:$R$16</c:f>
              <c:numCache>
                <c:formatCode>#,##0</c:formatCode>
                <c:ptCount val="11"/>
                <c:pt idx="5">
                  <c:v>5154000000</c:v>
                </c:pt>
                <c:pt idx="6">
                  <c:v>5182100000</c:v>
                </c:pt>
                <c:pt idx="7">
                  <c:v>5228300000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DCCA-446D-97DA-4A023EFFDB79}"/>
            </c:ext>
          </c:extLst>
        </c:ser>
        <c:ser>
          <c:idx val="16"/>
          <c:order val="14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forecasts'!$H$2:$R$2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forecasts'!$H$17:$R$17</c:f>
              <c:numCache>
                <c:formatCode>#,##0</c:formatCode>
                <c:ptCount val="11"/>
                <c:pt idx="6">
                  <c:v>5247700000</c:v>
                </c:pt>
                <c:pt idx="7">
                  <c:v>5572900000</c:v>
                </c:pt>
                <c:pt idx="8">
                  <c:v>6244200000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DCCA-446D-97DA-4A023EFFDB79}"/>
            </c:ext>
          </c:extLst>
        </c:ser>
        <c:ser>
          <c:idx val="1"/>
          <c:order val="15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forecasts'!$H$2:$R$2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forecasts'!$H$18:$R$18</c:f>
              <c:numCache>
                <c:formatCode>#,##0</c:formatCode>
                <c:ptCount val="11"/>
                <c:pt idx="7">
                  <c:v>5720400000</c:v>
                </c:pt>
                <c:pt idx="8">
                  <c:v>6316500000</c:v>
                </c:pt>
                <c:pt idx="9">
                  <c:v>6302300000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DCCA-446D-97DA-4A023EFFDB79}"/>
            </c:ext>
          </c:extLst>
        </c:ser>
        <c:ser>
          <c:idx val="2"/>
          <c:order val="16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forecasts'!$H$2:$R$2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forecasts'!$H$19:$R$19</c:f>
              <c:numCache>
                <c:formatCode>#,##0</c:formatCode>
                <c:ptCount val="11"/>
                <c:pt idx="8">
                  <c:v>6160500000</c:v>
                </c:pt>
                <c:pt idx="9">
                  <c:v>6386200000</c:v>
                </c:pt>
                <c:pt idx="10">
                  <c:v>6971000000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DCCA-446D-97DA-4A023EFFDB79}"/>
            </c:ext>
          </c:extLst>
        </c:ser>
        <c:ser>
          <c:idx val="17"/>
          <c:order val="17"/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forecasts'!$H$2:$R$2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DCCA-446D-97DA-4A023EFFDB79}"/>
            </c:ext>
          </c:extLst>
        </c:ser>
        <c:ser>
          <c:idx val="18"/>
          <c:order val="18"/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forecasts'!$H$2:$R$2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forecasts'!$A$12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DCCA-446D-97DA-4A023EFFDB79}"/>
            </c:ext>
          </c:extLst>
        </c:ser>
        <c:ser>
          <c:idx val="19"/>
          <c:order val="19"/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forecasts'!$H$2:$R$2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DCCA-446D-97DA-4A023EFFDB79}"/>
            </c:ext>
          </c:extLst>
        </c:ser>
        <c:ser>
          <c:idx val="20"/>
          <c:order val="20"/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forecasts'!$H$2:$R$2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forecasts'!$A$14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DCCA-446D-97DA-4A023EFFDB79}"/>
            </c:ext>
          </c:extLst>
        </c:ser>
        <c:ser>
          <c:idx val="21"/>
          <c:order val="21"/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forecasts'!$H$2:$R$2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DCCA-446D-97DA-4A023EFFDB79}"/>
            </c:ext>
          </c:extLst>
        </c:ser>
        <c:ser>
          <c:idx val="22"/>
          <c:order val="22"/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forecasts'!$H$2:$R$2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forecasts'!$A$16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DCCA-446D-97DA-4A023EFFDB79}"/>
            </c:ext>
          </c:extLst>
        </c:ser>
        <c:ser>
          <c:idx val="23"/>
          <c:order val="23"/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forecasts'!$H$2:$R$2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forecasts'!$A$17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DCCA-446D-97DA-4A023EFFDB79}"/>
            </c:ext>
          </c:extLst>
        </c:ser>
        <c:ser>
          <c:idx val="24"/>
          <c:order val="24"/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forecasts'!$H$2:$R$2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forecasts'!$A$18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DCCA-446D-97DA-4A023EFFDB79}"/>
            </c:ext>
          </c:extLst>
        </c:ser>
        <c:ser>
          <c:idx val="25"/>
          <c:order val="25"/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forecasts'!$H$2:$R$2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forecasts'!$A$19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DCCA-446D-97DA-4A023EFFD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666176"/>
        <c:axId val="181667712"/>
      </c:scatterChart>
      <c:valAx>
        <c:axId val="18166617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81667712"/>
        <c:crosses val="autoZero"/>
        <c:crossBetween val="midCat"/>
      </c:valAx>
      <c:valAx>
        <c:axId val="181667712"/>
        <c:scaling>
          <c:orientation val="minMax"/>
          <c:min val="3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666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Special budget revenues: forecasts and actual outcome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'Budget forecasts'!$H$27:$R$27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forecasts'!$H$28:$R$28</c:f>
              <c:numCache>
                <c:formatCode>#,##0</c:formatCode>
                <c:ptCount val="11"/>
                <c:pt idx="0">
                  <c:v>1676295998</c:v>
                </c:pt>
                <c:pt idx="1">
                  <c:v>1785516533</c:v>
                </c:pt>
                <c:pt idx="2">
                  <c:v>1924682582</c:v>
                </c:pt>
                <c:pt idx="3">
                  <c:v>2036256899</c:v>
                </c:pt>
                <c:pt idx="4">
                  <c:v>2222106328</c:v>
                </c:pt>
                <c:pt idx="5">
                  <c:v>2294241041</c:v>
                </c:pt>
                <c:pt idx="6">
                  <c:v>2338136366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54-403E-A981-3C9309157C9A}"/>
            </c:ext>
          </c:extLst>
        </c:ser>
        <c:ser>
          <c:idx val="3"/>
          <c:order val="1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forecasts'!$H$27:$R$27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forecasts'!$H$29:$R$29</c:f>
              <c:numCache>
                <c:formatCode>#,##0</c:formatCode>
                <c:ptCount val="11"/>
                <c:pt idx="0">
                  <c:v>1691225434.1181896</c:v>
                </c:pt>
                <c:pt idx="1">
                  <c:v>1704031280.4138849</c:v>
                </c:pt>
                <c:pt idx="2">
                  <c:v>1805624327.6930695</c:v>
                </c:pt>
                <c:pt idx="3">
                  <c:v>1948196083.1184797</c:v>
                </c:pt>
                <c:pt idx="4">
                  <c:v>2206700000</c:v>
                </c:pt>
                <c:pt idx="5">
                  <c:v>2309900000</c:v>
                </c:pt>
                <c:pt idx="6">
                  <c:v>2347200000</c:v>
                </c:pt>
                <c:pt idx="7">
                  <c:v>2486100000</c:v>
                </c:pt>
                <c:pt idx="8">
                  <c:v>2777100000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A54-403E-A981-3C9309157C9A}"/>
            </c:ext>
          </c:extLst>
        </c:ser>
        <c:ser>
          <c:idx val="4"/>
          <c:order val="2"/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forecasts'!$H$27:$R$27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forecasts'!$H$30:$R$30</c:f>
              <c:numCache>
                <c:formatCode>#,##0</c:formatCode>
                <c:ptCount val="1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A54-403E-A981-3C9309157C9A}"/>
            </c:ext>
          </c:extLst>
        </c:ser>
        <c:ser>
          <c:idx val="5"/>
          <c:order val="3"/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forecasts'!$H$27:$R$27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forecasts'!$H$31:$R$31</c:f>
              <c:numCache>
                <c:formatCode>#,##0</c:formatCode>
                <c:ptCount val="1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A54-403E-A981-3C9309157C9A}"/>
            </c:ext>
          </c:extLst>
        </c:ser>
        <c:ser>
          <c:idx val="6"/>
          <c:order val="4"/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forecasts'!$H$27:$R$27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forecasts'!$H$32:$R$32</c:f>
              <c:numCache>
                <c:formatCode>#,##0</c:formatCode>
                <c:ptCount val="1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A54-403E-A981-3C9309157C9A}"/>
            </c:ext>
          </c:extLst>
        </c:ser>
        <c:ser>
          <c:idx val="7"/>
          <c:order val="5"/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forecasts'!$H$27:$R$27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forecasts'!$H$33:$R$33</c:f>
              <c:numCache>
                <c:formatCode>#,##0</c:formatCode>
                <c:ptCount val="1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A54-403E-A981-3C9309157C9A}"/>
            </c:ext>
          </c:extLst>
        </c:ser>
        <c:ser>
          <c:idx val="8"/>
          <c:order val="6"/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forecasts'!$H$27:$R$27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forecasts'!$H$34:$R$34</c:f>
              <c:numCache>
                <c:formatCode>#,##0</c:formatCode>
                <c:ptCount val="1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A54-403E-A981-3C9309157C9A}"/>
            </c:ext>
          </c:extLst>
        </c:ser>
        <c:ser>
          <c:idx val="9"/>
          <c:order val="7"/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forecasts'!$H$27:$R$27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forecasts'!$H$35:$R$35</c:f>
              <c:numCache>
                <c:formatCode>#,##0</c:formatCode>
                <c:ptCount val="1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9A54-403E-A981-3C9309157C9A}"/>
            </c:ext>
          </c:extLst>
        </c:ser>
        <c:ser>
          <c:idx val="10"/>
          <c:order val="8"/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forecasts'!$H$27:$R$27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forecasts'!$H$36:$R$36</c:f>
              <c:numCache>
                <c:formatCode>#,##0</c:formatCode>
                <c:ptCount val="11"/>
                <c:pt idx="0">
                  <c:v>1691225434.1181896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9A54-403E-A981-3C9309157C9A}"/>
            </c:ext>
          </c:extLst>
        </c:ser>
        <c:ser>
          <c:idx val="11"/>
          <c:order val="9"/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forecasts'!$H$27:$R$27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forecasts'!$H$37:$R$37</c:f>
              <c:numCache>
                <c:formatCode>#,##0</c:formatCode>
                <c:ptCount val="11"/>
                <c:pt idx="1">
                  <c:v>1704031280.4138849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9A54-403E-A981-3C9309157C9A}"/>
            </c:ext>
          </c:extLst>
        </c:ser>
        <c:ser>
          <c:idx val="12"/>
          <c:order val="10"/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forecasts'!$H$27:$R$27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forecasts'!$H$38:$R$38</c:f>
              <c:numCache>
                <c:formatCode>#,##0</c:formatCode>
                <c:ptCount val="11"/>
                <c:pt idx="2">
                  <c:v>1805624327.6930695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9A54-403E-A981-3C9309157C9A}"/>
            </c:ext>
          </c:extLst>
        </c:ser>
        <c:ser>
          <c:idx val="13"/>
          <c:order val="11"/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forecasts'!$H$27:$R$27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forecasts'!$H$39:$R$39</c:f>
              <c:numCache>
                <c:formatCode>#,##0</c:formatCode>
                <c:ptCount val="11"/>
                <c:pt idx="3">
                  <c:v>1948196083.1184797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9A54-403E-A981-3C9309157C9A}"/>
            </c:ext>
          </c:extLst>
        </c:ser>
        <c:ser>
          <c:idx val="14"/>
          <c:order val="12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forecasts'!$H$27:$R$27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forecasts'!$H$40:$R$40</c:f>
              <c:numCache>
                <c:formatCode>#,##0</c:formatCode>
                <c:ptCount val="11"/>
                <c:pt idx="4">
                  <c:v>2206700000</c:v>
                </c:pt>
                <c:pt idx="5">
                  <c:v>2248500000</c:v>
                </c:pt>
                <c:pt idx="6">
                  <c:v>2289300000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9A54-403E-A981-3C9309157C9A}"/>
            </c:ext>
          </c:extLst>
        </c:ser>
        <c:ser>
          <c:idx val="15"/>
          <c:order val="13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forecasts'!$H$27:$R$27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forecasts'!$H$41:$R$41</c:f>
              <c:numCache>
                <c:formatCode>#,##0</c:formatCode>
                <c:ptCount val="11"/>
                <c:pt idx="5">
                  <c:v>2309900000</c:v>
                </c:pt>
                <c:pt idx="6">
                  <c:v>2347300000</c:v>
                </c:pt>
                <c:pt idx="7">
                  <c:v>2451700000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A54-403E-A981-3C9309157C9A}"/>
            </c:ext>
          </c:extLst>
        </c:ser>
        <c:ser>
          <c:idx val="16"/>
          <c:order val="14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forecasts'!$H$27:$R$27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forecasts'!$H$42:$R$42</c:f>
              <c:numCache>
                <c:formatCode>#,##0</c:formatCode>
                <c:ptCount val="11"/>
                <c:pt idx="6">
                  <c:v>2347200000</c:v>
                </c:pt>
                <c:pt idx="7">
                  <c:v>2483800000</c:v>
                </c:pt>
                <c:pt idx="8">
                  <c:v>2645300000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9A54-403E-A981-3C9309157C9A}"/>
            </c:ext>
          </c:extLst>
        </c:ser>
        <c:ser>
          <c:idx val="1"/>
          <c:order val="15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forecasts'!$H$27:$R$27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forecasts'!$H$43:$R$43</c:f>
              <c:numCache>
                <c:formatCode>#,##0</c:formatCode>
                <c:ptCount val="11"/>
                <c:pt idx="7">
                  <c:v>2486100000</c:v>
                </c:pt>
                <c:pt idx="8">
                  <c:v>2653700000</c:v>
                </c:pt>
                <c:pt idx="9">
                  <c:v>2796300000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9A54-403E-A981-3C9309157C9A}"/>
            </c:ext>
          </c:extLst>
        </c:ser>
        <c:ser>
          <c:idx val="2"/>
          <c:order val="16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forecasts'!$H$27:$R$27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forecasts'!$H$44:$R$44</c:f>
              <c:numCache>
                <c:formatCode>#,##0</c:formatCode>
                <c:ptCount val="11"/>
                <c:pt idx="8">
                  <c:v>2777100000</c:v>
                </c:pt>
                <c:pt idx="9">
                  <c:v>2935100000</c:v>
                </c:pt>
                <c:pt idx="10">
                  <c:v>3101400000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9A54-403E-A981-3C9309157C9A}"/>
            </c:ext>
          </c:extLst>
        </c:ser>
        <c:ser>
          <c:idx val="17"/>
          <c:order val="17"/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forecasts'!$H$27:$R$27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forecasts'!$A$36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9A54-403E-A981-3C9309157C9A}"/>
            </c:ext>
          </c:extLst>
        </c:ser>
        <c:ser>
          <c:idx val="18"/>
          <c:order val="18"/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forecasts'!$H$27:$R$27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forecasts'!$A$37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9A54-403E-A981-3C9309157C9A}"/>
            </c:ext>
          </c:extLst>
        </c:ser>
        <c:ser>
          <c:idx val="19"/>
          <c:order val="19"/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forecasts'!$H$27:$R$27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forecasts'!$A$38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9A54-403E-A981-3C9309157C9A}"/>
            </c:ext>
          </c:extLst>
        </c:ser>
        <c:ser>
          <c:idx val="20"/>
          <c:order val="20"/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forecasts'!$H$27:$R$27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forecasts'!$A$39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9A54-403E-A981-3C9309157C9A}"/>
            </c:ext>
          </c:extLst>
        </c:ser>
        <c:ser>
          <c:idx val="21"/>
          <c:order val="21"/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forecasts'!$H$27:$R$27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forecasts'!$A$40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9A54-403E-A981-3C9309157C9A}"/>
            </c:ext>
          </c:extLst>
        </c:ser>
        <c:ser>
          <c:idx val="22"/>
          <c:order val="22"/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forecasts'!$H$27:$R$27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forecasts'!$A$41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9A54-403E-A981-3C9309157C9A}"/>
            </c:ext>
          </c:extLst>
        </c:ser>
        <c:ser>
          <c:idx val="23"/>
          <c:order val="23"/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forecasts'!$H$27:$R$27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forecasts'!$A$42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9A54-403E-A981-3C9309157C9A}"/>
            </c:ext>
          </c:extLst>
        </c:ser>
        <c:ser>
          <c:idx val="24"/>
          <c:order val="24"/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forecasts'!$H$27:$R$27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forecasts'!$A$43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9A54-403E-A981-3C9309157C9A}"/>
            </c:ext>
          </c:extLst>
        </c:ser>
        <c:ser>
          <c:idx val="25"/>
          <c:order val="25"/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forecasts'!$H$27:$R$27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xVal>
          <c:yVal>
            <c:numRef>
              <c:f>'Budget forecasts'!$A$44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9A54-403E-A981-3C9309157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647296"/>
        <c:axId val="186648832"/>
      </c:scatterChart>
      <c:valAx>
        <c:axId val="18664729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86648832"/>
        <c:crosses val="autoZero"/>
        <c:crossBetween val="midCat"/>
      </c:valAx>
      <c:valAx>
        <c:axId val="186648832"/>
        <c:scaling>
          <c:orientation val="minMax"/>
          <c:min val="15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647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Basic budget expenditure: forecasts and actual outcome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'Budget forecasts'!$A$61</c:f>
              <c:strCache>
                <c:ptCount val="1"/>
                <c:pt idx="0">
                  <c:v>Actual outcome, basic budget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'Budget forecasts'!$B$60:$R$60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forecasts'!$B$61:$R$61</c:f>
              <c:numCache>
                <c:formatCode>#,##0</c:formatCode>
                <c:ptCount val="17"/>
                <c:pt idx="0">
                  <c:v>2229440056</c:v>
                </c:pt>
                <c:pt idx="1">
                  <c:v>2944991579</c:v>
                </c:pt>
                <c:pt idx="2">
                  <c:v>3728418536</c:v>
                </c:pt>
                <c:pt idx="3">
                  <c:v>4802817294</c:v>
                </c:pt>
                <c:pt idx="4">
                  <c:v>5545243168</c:v>
                </c:pt>
                <c:pt idx="5">
                  <c:v>4713490850</c:v>
                </c:pt>
                <c:pt idx="6">
                  <c:v>4551438822</c:v>
                </c:pt>
                <c:pt idx="7">
                  <c:v>4567747726</c:v>
                </c:pt>
                <c:pt idx="8">
                  <c:v>4646055916</c:v>
                </c:pt>
                <c:pt idx="9">
                  <c:v>4769450270</c:v>
                </c:pt>
                <c:pt idx="10">
                  <c:v>5345271200</c:v>
                </c:pt>
                <c:pt idx="11">
                  <c:v>5479421550</c:v>
                </c:pt>
                <c:pt idx="12">
                  <c:v>5400803388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8C1-41D2-A5B2-A376E912EEC6}"/>
            </c:ext>
          </c:extLst>
        </c:ser>
        <c:ser>
          <c:idx val="3"/>
          <c:order val="1"/>
          <c:tx>
            <c:strRef>
              <c:f>'Budget forecasts'!$A$62</c:f>
              <c:strCache>
                <c:ptCount val="1"/>
                <c:pt idx="0">
                  <c:v>Budget Law, basic budget expenditures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forecasts'!$B$60:$R$60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forecasts'!$B$62:$R$62</c:f>
              <c:numCache>
                <c:formatCode>#,##0</c:formatCode>
                <c:ptCount val="17"/>
                <c:pt idx="0">
                  <c:v>2136719194.8252997</c:v>
                </c:pt>
                <c:pt idx="1">
                  <c:v>2925759149.0657425</c:v>
                </c:pt>
                <c:pt idx="2">
                  <c:v>3710849682.1304374</c:v>
                </c:pt>
                <c:pt idx="3">
                  <c:v>4978201603.861105</c:v>
                </c:pt>
                <c:pt idx="4">
                  <c:v>6005941912.6812029</c:v>
                </c:pt>
                <c:pt idx="5">
                  <c:v>6049481790.0865679</c:v>
                </c:pt>
                <c:pt idx="6">
                  <c:v>4332786950.5580502</c:v>
                </c:pt>
                <c:pt idx="7">
                  <c:v>4706859949.5734234</c:v>
                </c:pt>
                <c:pt idx="8">
                  <c:v>4634435774.4122114</c:v>
                </c:pt>
                <c:pt idx="9">
                  <c:v>4853984894.7928581</c:v>
                </c:pt>
                <c:pt idx="10">
                  <c:v>5322800000</c:v>
                </c:pt>
                <c:pt idx="11">
                  <c:v>5534300000</c:v>
                </c:pt>
                <c:pt idx="12">
                  <c:v>5636400000</c:v>
                </c:pt>
                <c:pt idx="13">
                  <c:v>6087000000</c:v>
                </c:pt>
                <c:pt idx="14">
                  <c:v>6482200000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8C1-41D2-A5B2-A376E912EEC6}"/>
            </c:ext>
          </c:extLst>
        </c:ser>
        <c:ser>
          <c:idx val="4"/>
          <c:order val="2"/>
          <c:tx>
            <c:strRef>
              <c:f>'Budget forecasts'!$A$63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forecasts'!$B$60:$R$60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forecasts'!$B$63:$R$63</c:f>
              <c:numCache>
                <c:formatCode>General</c:formatCode>
                <c:ptCount val="17"/>
                <c:pt idx="0" formatCode="#,##0">
                  <c:v>2136719194.8252997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8C1-41D2-A5B2-A376E912EEC6}"/>
            </c:ext>
          </c:extLst>
        </c:ser>
        <c:ser>
          <c:idx val="5"/>
          <c:order val="3"/>
          <c:tx>
            <c:strRef>
              <c:f>'Budget forecasts'!$A$64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forecasts'!$B$60:$R$60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forecasts'!$B$64:$R$64</c:f>
              <c:numCache>
                <c:formatCode>#,##0</c:formatCode>
                <c:ptCount val="17"/>
                <c:pt idx="1">
                  <c:v>2925759149.0657425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8C1-41D2-A5B2-A376E912EEC6}"/>
            </c:ext>
          </c:extLst>
        </c:ser>
        <c:ser>
          <c:idx val="6"/>
          <c:order val="4"/>
          <c:tx>
            <c:strRef>
              <c:f>'Budget forecasts'!$A$65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forecasts'!$B$60:$R$60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forecasts'!$B$65:$R$65</c:f>
              <c:numCache>
                <c:formatCode>General</c:formatCode>
                <c:ptCount val="17"/>
                <c:pt idx="2" formatCode="#,##0">
                  <c:v>3710849682.1304374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8C1-41D2-A5B2-A376E912EEC6}"/>
            </c:ext>
          </c:extLst>
        </c:ser>
        <c:ser>
          <c:idx val="7"/>
          <c:order val="5"/>
          <c:tx>
            <c:strRef>
              <c:f>'Budget forecasts'!$A$66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forecasts'!$B$60:$R$60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forecasts'!$B$66:$R$66</c:f>
              <c:numCache>
                <c:formatCode>General</c:formatCode>
                <c:ptCount val="17"/>
                <c:pt idx="3" formatCode="#,##0">
                  <c:v>4978201603.861105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8C1-41D2-A5B2-A376E912EEC6}"/>
            </c:ext>
          </c:extLst>
        </c:ser>
        <c:ser>
          <c:idx val="8"/>
          <c:order val="6"/>
          <c:tx>
            <c:strRef>
              <c:f>'Budget forecasts'!$A$67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forecasts'!$B$60:$R$60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forecasts'!$B$67:$R$67</c:f>
              <c:numCache>
                <c:formatCode>General</c:formatCode>
                <c:ptCount val="17"/>
                <c:pt idx="4" formatCode="#,##0">
                  <c:v>6005941912.6812029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58C1-41D2-A5B2-A376E912EEC6}"/>
            </c:ext>
          </c:extLst>
        </c:ser>
        <c:ser>
          <c:idx val="9"/>
          <c:order val="7"/>
          <c:tx>
            <c:strRef>
              <c:f>'Budget forecasts'!$A$68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forecasts'!$B$60:$R$60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forecasts'!$B$68:$R$68</c:f>
              <c:numCache>
                <c:formatCode>General</c:formatCode>
                <c:ptCount val="17"/>
                <c:pt idx="5" formatCode="#,##0">
                  <c:v>6049481790.0865679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58C1-41D2-A5B2-A376E912EEC6}"/>
            </c:ext>
          </c:extLst>
        </c:ser>
        <c:ser>
          <c:idx val="10"/>
          <c:order val="8"/>
          <c:tx>
            <c:strRef>
              <c:f>'Budget forecasts'!$A$69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forecasts'!$B$60:$R$60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forecasts'!$B$69:$R$69</c:f>
              <c:numCache>
                <c:formatCode>General</c:formatCode>
                <c:ptCount val="17"/>
                <c:pt idx="6" formatCode="#,##0">
                  <c:v>4332786950.5580502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58C1-41D2-A5B2-A376E912EEC6}"/>
            </c:ext>
          </c:extLst>
        </c:ser>
        <c:ser>
          <c:idx val="11"/>
          <c:order val="9"/>
          <c:tx>
            <c:strRef>
              <c:f>'Budget forecasts'!$A$70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forecasts'!$B$60:$R$60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forecasts'!$B$70:$R$70</c:f>
              <c:numCache>
                <c:formatCode>General</c:formatCode>
                <c:ptCount val="17"/>
                <c:pt idx="7" formatCode="#,##0">
                  <c:v>4706859949.5734234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58C1-41D2-A5B2-A376E912EEC6}"/>
            </c:ext>
          </c:extLst>
        </c:ser>
        <c:ser>
          <c:idx val="12"/>
          <c:order val="10"/>
          <c:tx>
            <c:strRef>
              <c:f>'Budget forecasts'!$A$71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forecasts'!$B$60:$R$60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forecasts'!$B$71:$R$71</c:f>
              <c:numCache>
                <c:formatCode>General</c:formatCode>
                <c:ptCount val="17"/>
                <c:pt idx="8" formatCode="#,##0">
                  <c:v>4634435774.4122114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58C1-41D2-A5B2-A376E912EEC6}"/>
            </c:ext>
          </c:extLst>
        </c:ser>
        <c:ser>
          <c:idx val="13"/>
          <c:order val="11"/>
          <c:tx>
            <c:strRef>
              <c:f>'Budget forecasts'!$A$72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forecasts'!$B$60:$R$60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forecasts'!$B$72:$R$72</c:f>
              <c:numCache>
                <c:formatCode>General</c:formatCode>
                <c:ptCount val="17"/>
                <c:pt idx="9" formatCode="#,##0">
                  <c:v>4853984894.7928581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58C1-41D2-A5B2-A376E912EEC6}"/>
            </c:ext>
          </c:extLst>
        </c:ser>
        <c:ser>
          <c:idx val="14"/>
          <c:order val="12"/>
          <c:tx>
            <c:strRef>
              <c:f>'Budget forecasts'!$A$73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forecasts'!$B$60:$R$60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forecasts'!$B$73:$R$73</c:f>
              <c:numCache>
                <c:formatCode>General</c:formatCode>
                <c:ptCount val="17"/>
                <c:pt idx="10" formatCode="#,##0">
                  <c:v>5322800000</c:v>
                </c:pt>
                <c:pt idx="11" formatCode="#,##0">
                  <c:v>5133000000</c:v>
                </c:pt>
                <c:pt idx="12" formatCode="#,##0">
                  <c:v>5356500000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58C1-41D2-A5B2-A376E912EEC6}"/>
            </c:ext>
          </c:extLst>
        </c:ser>
        <c:ser>
          <c:idx val="15"/>
          <c:order val="13"/>
          <c:tx>
            <c:strRef>
              <c:f>'Budget forecasts'!$A$74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forecasts'!$B$60:$R$60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forecasts'!$B$74:$R$74</c:f>
              <c:numCache>
                <c:formatCode>General</c:formatCode>
                <c:ptCount val="17"/>
                <c:pt idx="11" formatCode="#,##0">
                  <c:v>5534300000</c:v>
                </c:pt>
                <c:pt idx="12" formatCode="#,##0">
                  <c:v>5599800000</c:v>
                </c:pt>
                <c:pt idx="13" formatCode="#,##0">
                  <c:v>5599100000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58C1-41D2-A5B2-A376E912EEC6}"/>
            </c:ext>
          </c:extLst>
        </c:ser>
        <c:ser>
          <c:idx val="16"/>
          <c:order val="14"/>
          <c:tx>
            <c:strRef>
              <c:f>'Budget forecasts'!$A$75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forecasts'!$B$60:$R$60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forecasts'!$B$75:$R$75</c:f>
              <c:numCache>
                <c:formatCode>General</c:formatCode>
                <c:ptCount val="17"/>
                <c:pt idx="12" formatCode="#,##0">
                  <c:v>5636400000</c:v>
                </c:pt>
                <c:pt idx="13" formatCode="#,##0">
                  <c:v>6041500000</c:v>
                </c:pt>
                <c:pt idx="14" formatCode="#,##0">
                  <c:v>6189400000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58C1-41D2-A5B2-A376E912EEC6}"/>
            </c:ext>
          </c:extLst>
        </c:ser>
        <c:ser>
          <c:idx val="1"/>
          <c:order val="15"/>
          <c:tx>
            <c:strRef>
              <c:f>'Budget forecasts'!$A$76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forecasts'!$B$60:$R$60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forecasts'!$B$76:$R$76</c:f>
              <c:numCache>
                <c:formatCode>General</c:formatCode>
                <c:ptCount val="17"/>
                <c:pt idx="13" formatCode="#,##0">
                  <c:v>6087000000</c:v>
                </c:pt>
                <c:pt idx="14" formatCode="#,##0">
                  <c:v>6263100000</c:v>
                </c:pt>
                <c:pt idx="15" formatCode="#,##0">
                  <c:v>6198500000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58C1-41D2-A5B2-A376E912EEC6}"/>
            </c:ext>
          </c:extLst>
        </c:ser>
        <c:ser>
          <c:idx val="2"/>
          <c:order val="16"/>
          <c:tx>
            <c:strRef>
              <c:f>'Budget forecasts'!$A$77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forecasts'!$B$60:$R$60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xVal>
          <c:yVal>
            <c:numRef>
              <c:f>'Budget forecasts'!$B$77:$R$77</c:f>
              <c:numCache>
                <c:formatCode>General</c:formatCode>
                <c:ptCount val="17"/>
                <c:pt idx="14" formatCode="#,##0">
                  <c:v>6482200000</c:v>
                </c:pt>
                <c:pt idx="15" formatCode="#,##0">
                  <c:v>6651000000</c:v>
                </c:pt>
                <c:pt idx="16" formatCode="#,##0">
                  <c:v>6980600000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58C1-41D2-A5B2-A376E912E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726656"/>
        <c:axId val="186736640"/>
      </c:scatterChart>
      <c:valAx>
        <c:axId val="18672665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86736640"/>
        <c:crosses val="autoZero"/>
        <c:crossBetween val="midCat"/>
      </c:valAx>
      <c:valAx>
        <c:axId val="18673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726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95596</xdr:colOff>
      <xdr:row>0</xdr:row>
      <xdr:rowOff>0</xdr:rowOff>
    </xdr:from>
    <xdr:to>
      <xdr:col>33</xdr:col>
      <xdr:colOff>14398</xdr:colOff>
      <xdr:row>19</xdr:row>
      <xdr:rowOff>99060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103216</xdr:colOff>
      <xdr:row>20</xdr:row>
      <xdr:rowOff>19956</xdr:rowOff>
    </xdr:from>
    <xdr:to>
      <xdr:col>33</xdr:col>
      <xdr:colOff>14399</xdr:colOff>
      <xdr:row>40</xdr:row>
      <xdr:rowOff>98004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98178</xdr:colOff>
      <xdr:row>41</xdr:row>
      <xdr:rowOff>54793</xdr:rowOff>
    </xdr:from>
    <xdr:to>
      <xdr:col>33</xdr:col>
      <xdr:colOff>34909</xdr:colOff>
      <xdr:row>62</xdr:row>
      <xdr:rowOff>130994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96917</xdr:colOff>
      <xdr:row>62</xdr:row>
      <xdr:rowOff>182980</xdr:rowOff>
    </xdr:from>
    <xdr:to>
      <xdr:col>33</xdr:col>
      <xdr:colOff>57729</xdr:colOff>
      <xdr:row>82</xdr:row>
      <xdr:rowOff>76630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26</xdr:row>
      <xdr:rowOff>0</xdr:rowOff>
    </xdr:from>
    <xdr:to>
      <xdr:col>34</xdr:col>
      <xdr:colOff>218547</xdr:colOff>
      <xdr:row>48</xdr:row>
      <xdr:rowOff>22347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1</xdr:row>
      <xdr:rowOff>0</xdr:rowOff>
    </xdr:from>
    <xdr:to>
      <xdr:col>34</xdr:col>
      <xdr:colOff>218547</xdr:colOff>
      <xdr:row>23</xdr:row>
      <xdr:rowOff>22347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0</xdr:colOff>
      <xdr:row>1</xdr:row>
      <xdr:rowOff>0</xdr:rowOff>
    </xdr:from>
    <xdr:to>
      <xdr:col>51</xdr:col>
      <xdr:colOff>218548</xdr:colOff>
      <xdr:row>23</xdr:row>
      <xdr:rowOff>22347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0</xdr:colOff>
      <xdr:row>26</xdr:row>
      <xdr:rowOff>0</xdr:rowOff>
    </xdr:from>
    <xdr:to>
      <xdr:col>51</xdr:col>
      <xdr:colOff>218548</xdr:colOff>
      <xdr:row>48</xdr:row>
      <xdr:rowOff>22347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13607</xdr:colOff>
      <xdr:row>59</xdr:row>
      <xdr:rowOff>13606</xdr:rowOff>
    </xdr:from>
    <xdr:to>
      <xdr:col>34</xdr:col>
      <xdr:colOff>232154</xdr:colOff>
      <xdr:row>81</xdr:row>
      <xdr:rowOff>35953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36</xdr:col>
      <xdr:colOff>0</xdr:colOff>
      <xdr:row>59</xdr:row>
      <xdr:rowOff>0</xdr:rowOff>
    </xdr:from>
    <xdr:to>
      <xdr:col>51</xdr:col>
      <xdr:colOff>218548</xdr:colOff>
      <xdr:row>81</xdr:row>
      <xdr:rowOff>22347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598714</xdr:colOff>
      <xdr:row>86</xdr:row>
      <xdr:rowOff>0</xdr:rowOff>
    </xdr:from>
    <xdr:to>
      <xdr:col>34</xdr:col>
      <xdr:colOff>204940</xdr:colOff>
      <xdr:row>108</xdr:row>
      <xdr:rowOff>86591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0</xdr:colOff>
      <xdr:row>111</xdr:row>
      <xdr:rowOff>173181</xdr:rowOff>
    </xdr:from>
    <xdr:to>
      <xdr:col>34</xdr:col>
      <xdr:colOff>211344</xdr:colOff>
      <xdr:row>134</xdr:row>
      <xdr:rowOff>5028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ata.csb.gov.lv/pxweb/lv/ekfin/ekfin__ikgad__ikp/?tablelist=true&amp;rxid=cdcb978c-22b0-416a-aacc-aa650d3e2ce0" TargetMode="External"/><Relationship Id="rId1" Type="http://schemas.openxmlformats.org/officeDocument/2006/relationships/hyperlink" Target="http://data.csb.gov.lv/pxweb/lv/arhivs/arhivs__ikgad__ikp_eks95/?tablelist=true&amp;rxid=22982e57-4b0b-4546-a79c-4a1dadbb8bf5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m.gov.lv/files/files/FMpask_B_C_210205.pdf" TargetMode="External"/><Relationship Id="rId13" Type="http://schemas.openxmlformats.org/officeDocument/2006/relationships/hyperlink" Target="http://www.fm.gov.lv/lv/sadalas/valsts_budzets/budzeta_paskaidrojumi/2011_gads/" TargetMode="External"/><Relationship Id="rId3" Type="http://schemas.openxmlformats.org/officeDocument/2006/relationships/hyperlink" Target="http://www.fm.gov.lv/files/valstsbudzets/budzetapaskaidrojumi/FMPask_B_020315_bud2015.pdf" TargetMode="External"/><Relationship Id="rId7" Type="http://schemas.openxmlformats.org/officeDocument/2006/relationships/hyperlink" Target="http://www.fm.gov.lv/lv/sadalas/valsts_budzets/budzeta_paskaidrojumi/2009_gads/" TargetMode="External"/><Relationship Id="rId12" Type="http://schemas.openxmlformats.org/officeDocument/2006/relationships/hyperlink" Target="http://www.fm.gov.lv/lv/sadalas/valsts_budzets/budzeta_paskaidrojumi/2010_gads/" TargetMode="External"/><Relationship Id="rId2" Type="http://schemas.openxmlformats.org/officeDocument/2006/relationships/hyperlink" Target="http://www.fm.gov.lv/files/valstsbudzets/FMPask_B_100217_bud2017.pdf" TargetMode="External"/><Relationship Id="rId1" Type="http://schemas.openxmlformats.org/officeDocument/2006/relationships/hyperlink" Target="http://titania.saeima.lv/LIVS12/saeimalivs12.nsf/0/743D48B38D5912CAC22581B6002A6B42?OpenDocument" TargetMode="External"/><Relationship Id="rId6" Type="http://schemas.openxmlformats.org/officeDocument/2006/relationships/hyperlink" Target="http://www.fm.gov.lv/lv/sadalas/valsts_budzets/budzeta_paskaidrojumi/2012_gads/" TargetMode="External"/><Relationship Id="rId11" Type="http://schemas.openxmlformats.org/officeDocument/2006/relationships/hyperlink" Target="http://www.fm.gov.lv/lv/sadalas/valsts_budzets/budzeta_paskaidrojumi/2008_gads/" TargetMode="External"/><Relationship Id="rId5" Type="http://schemas.openxmlformats.org/officeDocument/2006/relationships/hyperlink" Target="http://www.fm.gov.lv/files/valstsbudzets/budzetapaskaidrojumi/FMPask_C_310113_bud2013.pdf" TargetMode="External"/><Relationship Id="rId10" Type="http://schemas.openxmlformats.org/officeDocument/2006/relationships/hyperlink" Target="http://www.fm.gov.lv/files/files/FMpask_B-C_260107.pdf" TargetMode="External"/><Relationship Id="rId4" Type="http://schemas.openxmlformats.org/officeDocument/2006/relationships/hyperlink" Target="http://www.fm.gov.lv/files/valstsbudzets/budzetapaskaidrojumi/FMPask_C_270114_bud2014.pdf" TargetMode="External"/><Relationship Id="rId9" Type="http://schemas.openxmlformats.org/officeDocument/2006/relationships/hyperlink" Target="http://www.fm.gov.lv/files/files/FMpask_B_C_071205.pdf" TargetMode="External"/><Relationship Id="rId1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fm.gov.lv/files/files/FMpask_D_260107.pdf" TargetMode="External"/><Relationship Id="rId18" Type="http://schemas.openxmlformats.org/officeDocument/2006/relationships/hyperlink" Target="http://www.fm.gov.lv/files/files/FMPask_e.doc" TargetMode="External"/><Relationship Id="rId26" Type="http://schemas.openxmlformats.org/officeDocument/2006/relationships/hyperlink" Target="http://www.fm.gov.lv/files/files/55A2CC865196001266397306633770.doc" TargetMode="External"/><Relationship Id="rId39" Type="http://schemas.openxmlformats.org/officeDocument/2006/relationships/hyperlink" Target="http://www.fm.gov.lv/files/valstsbudzets/budzetapaskaidrojumi/FMPask_D_310113_bud2013.pdf" TargetMode="External"/><Relationship Id="rId21" Type="http://schemas.openxmlformats.org/officeDocument/2006/relationships/hyperlink" Target="http://www.fm.gov.lv/files/files/FMPask_D_081008.doc" TargetMode="External"/><Relationship Id="rId34" Type="http://schemas.openxmlformats.org/officeDocument/2006/relationships/hyperlink" Target="http://www.fm.gov.lv/files/files/E2B593513351001330693807234362.doc" TargetMode="External"/><Relationship Id="rId42" Type="http://schemas.openxmlformats.org/officeDocument/2006/relationships/hyperlink" Target="http://www.fm.gov.lv/files/valstsbudzets/budzetapaskaidrojumi/FMPask_D_270114_bud2014.pdf" TargetMode="External"/><Relationship Id="rId47" Type="http://schemas.openxmlformats.org/officeDocument/2006/relationships/hyperlink" Target="http://www.fm.gov.lv/files/valstsbudzets/budzetapaskaidrojumi/FMPask_D_020315_bud2015.pdf" TargetMode="External"/><Relationship Id="rId50" Type="http://schemas.openxmlformats.org/officeDocument/2006/relationships/hyperlink" Target="http://www.fm.gov.lv/files/valstsbudzets/2016/FMPask_D_180216_bud2016.pdf" TargetMode="External"/><Relationship Id="rId55" Type="http://schemas.openxmlformats.org/officeDocument/2006/relationships/hyperlink" Target="http://www.fm.gov.lv/files/valstsbudzets/FMPask_D_100217_bud2017.pdf" TargetMode="External"/><Relationship Id="rId63" Type="http://schemas.openxmlformats.org/officeDocument/2006/relationships/hyperlink" Target="http://www.fm.gov.lv/files/valstsbudzets/FMPask_D_100217_bud2017.pdf" TargetMode="External"/><Relationship Id="rId7" Type="http://schemas.openxmlformats.org/officeDocument/2006/relationships/hyperlink" Target="http://www.fm.gov.lv/files/files/2005bud_sakotn.zip" TargetMode="External"/><Relationship Id="rId2" Type="http://schemas.openxmlformats.org/officeDocument/2006/relationships/hyperlink" Target="http://www.fm.gov.lv/files/files/Likums_Par_valsts_budzetu_2004_sakotnejs.zip" TargetMode="External"/><Relationship Id="rId16" Type="http://schemas.openxmlformats.org/officeDocument/2006/relationships/hyperlink" Target="http://www.fm.gov.lv/files/files/FMpask_D_260107.pdf" TargetMode="External"/><Relationship Id="rId20" Type="http://schemas.openxmlformats.org/officeDocument/2006/relationships/hyperlink" Target="http://www.fm.gov.lv/files/files/FMPask_d.doc" TargetMode="External"/><Relationship Id="rId29" Type="http://schemas.openxmlformats.org/officeDocument/2006/relationships/hyperlink" Target="http://www.fm.gov.lv/files/files/DC44E3447971001296636838135485.doc" TargetMode="External"/><Relationship Id="rId41" Type="http://schemas.openxmlformats.org/officeDocument/2006/relationships/hyperlink" Target="http://www.fm.gov.lv/files/valstsbudzets/budzetapaskaidrojumi/FMPask_D_270114_bud2014.pdf" TargetMode="External"/><Relationship Id="rId54" Type="http://schemas.openxmlformats.org/officeDocument/2006/relationships/hyperlink" Target="http://www.fm.gov.lv/files/valstsbudzets/FMPask_D_100217_bud2017.pdf" TargetMode="External"/><Relationship Id="rId62" Type="http://schemas.openxmlformats.org/officeDocument/2006/relationships/hyperlink" Target="http://www.fm.gov.lv/files/valstsbudzets/2016/FMPask_D_180216_bud2016.pdf" TargetMode="External"/><Relationship Id="rId1" Type="http://schemas.openxmlformats.org/officeDocument/2006/relationships/hyperlink" Target="http://www.fm.gov.lv/files/files/Likums_Par_valsts_budzetu_2004_sakotnejs.zip" TargetMode="External"/><Relationship Id="rId6" Type="http://schemas.openxmlformats.org/officeDocument/2006/relationships/hyperlink" Target="http://www.fm.gov.lv/files/files/2005bud_sakotn.zip" TargetMode="External"/><Relationship Id="rId11" Type="http://schemas.openxmlformats.org/officeDocument/2006/relationships/hyperlink" Target="http://www.fm.gov.lv/files/files/FMpask_D_E_F_G_071205.pdf" TargetMode="External"/><Relationship Id="rId24" Type="http://schemas.openxmlformats.org/officeDocument/2006/relationships/hyperlink" Target="http://www.fm.gov.lv/files/files/FMPask_D_081008.doc" TargetMode="External"/><Relationship Id="rId32" Type="http://schemas.openxmlformats.org/officeDocument/2006/relationships/hyperlink" Target="http://www.fm.gov.lv/files/files/DC44E3447971001296636838135485.doc" TargetMode="External"/><Relationship Id="rId37" Type="http://schemas.openxmlformats.org/officeDocument/2006/relationships/hyperlink" Target="http://www.fm.gov.lv/files/valstsbudzets/budzetapaskaidrojumi/FMPask_D_310113_bud2013.pdf" TargetMode="External"/><Relationship Id="rId40" Type="http://schemas.openxmlformats.org/officeDocument/2006/relationships/hyperlink" Target="http://www.fm.gov.lv/files/valstsbudzets/budzetapaskaidrojumi/FMPask_D_310113_bud2013.pdf" TargetMode="External"/><Relationship Id="rId45" Type="http://schemas.openxmlformats.org/officeDocument/2006/relationships/hyperlink" Target="http://www.fm.gov.lv/files/valstsbudzets/budzetapaskaidrojumi/FMPask_D_020315_bud2015.pdf" TargetMode="External"/><Relationship Id="rId53" Type="http://schemas.openxmlformats.org/officeDocument/2006/relationships/hyperlink" Target="http://www.fm.gov.lv/files/valstsbudzets/FMPask_D_100217_bud2017.pdf" TargetMode="External"/><Relationship Id="rId58" Type="http://schemas.openxmlformats.org/officeDocument/2006/relationships/hyperlink" Target="http://titania.saeima.lv/LIVS12/saeimalivs12.nsf/0/29F94E8683D7D2BFC22581B6002A8480?OpenDocument" TargetMode="External"/><Relationship Id="rId66" Type="http://schemas.openxmlformats.org/officeDocument/2006/relationships/drawing" Target="../drawings/drawing2.xml"/><Relationship Id="rId5" Type="http://schemas.openxmlformats.org/officeDocument/2006/relationships/hyperlink" Target="http://www.fm.gov.lv/files/files/2005bud_sakotn.zip" TargetMode="External"/><Relationship Id="rId15" Type="http://schemas.openxmlformats.org/officeDocument/2006/relationships/hyperlink" Target="http://www.fm.gov.lv/files/files/FMpask_D_260107.pdf" TargetMode="External"/><Relationship Id="rId23" Type="http://schemas.openxmlformats.org/officeDocument/2006/relationships/hyperlink" Target="http://www.fm.gov.lv/files/files/FMPask_D_081008.doc" TargetMode="External"/><Relationship Id="rId28" Type="http://schemas.openxmlformats.org/officeDocument/2006/relationships/hyperlink" Target="http://www.fm.gov.lv/files/files/55A2CC865196001266397306633770.doc" TargetMode="External"/><Relationship Id="rId36" Type="http://schemas.openxmlformats.org/officeDocument/2006/relationships/hyperlink" Target="http://www.fm.gov.lv/files/files/E2B593513351001330693807234362.doc" TargetMode="External"/><Relationship Id="rId49" Type="http://schemas.openxmlformats.org/officeDocument/2006/relationships/hyperlink" Target="http://www.fm.gov.lv/files/valstsbudzets/2016/FMPask_D_180216_bud2016.pdf" TargetMode="External"/><Relationship Id="rId57" Type="http://schemas.openxmlformats.org/officeDocument/2006/relationships/hyperlink" Target="http://titania.saeima.lv/LIVS12/saeimalivs12.nsf/0/29F94E8683D7D2BFC22581B6002A8480?OpenDocument" TargetMode="External"/><Relationship Id="rId61" Type="http://schemas.openxmlformats.org/officeDocument/2006/relationships/hyperlink" Target="http://www.fm.gov.lv/files/valstsbudzets/budzetapaskaidrojumi/FMPask_D_020315_bud2015.pdf" TargetMode="External"/><Relationship Id="rId10" Type="http://schemas.openxmlformats.org/officeDocument/2006/relationships/hyperlink" Target="http://www.fm.gov.lv/files/files/FMpask_D_E_F_G_071205.pdf" TargetMode="External"/><Relationship Id="rId19" Type="http://schemas.openxmlformats.org/officeDocument/2006/relationships/hyperlink" Target="http://www.fm.gov.lv/files/files/FMPask_d.doc" TargetMode="External"/><Relationship Id="rId31" Type="http://schemas.openxmlformats.org/officeDocument/2006/relationships/hyperlink" Target="http://www.fm.gov.lv/files/files/DC44E3447971001296636838135485.doc" TargetMode="External"/><Relationship Id="rId44" Type="http://schemas.openxmlformats.org/officeDocument/2006/relationships/hyperlink" Target="http://www.fm.gov.lv/files/valstsbudzets/budzetapaskaidrojumi/FMPask_D_270114_bud2014.pdf" TargetMode="External"/><Relationship Id="rId52" Type="http://schemas.openxmlformats.org/officeDocument/2006/relationships/hyperlink" Target="http://www.fm.gov.lv/files/valstsbudzets/2016/FMPask_D_180216_bud2016.pdf" TargetMode="External"/><Relationship Id="rId60" Type="http://schemas.openxmlformats.org/officeDocument/2006/relationships/hyperlink" Target="http://www.fm.gov.lv/files/valstsbudzets/budzetapaskaidrojumi/FMPask_D_270114_bud2014.pdf" TargetMode="External"/><Relationship Id="rId65" Type="http://schemas.openxmlformats.org/officeDocument/2006/relationships/printerSettings" Target="../printerSettings/printerSettings5.bin"/><Relationship Id="rId4" Type="http://schemas.openxmlformats.org/officeDocument/2006/relationships/hyperlink" Target="http://www.fm.gov.lv/files/files/Likums_Par_valsts_budzetu_2004_sakotnejs.zip" TargetMode="External"/><Relationship Id="rId9" Type="http://schemas.openxmlformats.org/officeDocument/2006/relationships/hyperlink" Target="http://www.fm.gov.lv/files/files/FMpask_D_E_F_G_071205.pdf" TargetMode="External"/><Relationship Id="rId14" Type="http://schemas.openxmlformats.org/officeDocument/2006/relationships/hyperlink" Target="http://www.fm.gov.lv/files/files/FMpask_D_260107.pdf" TargetMode="External"/><Relationship Id="rId22" Type="http://schemas.openxmlformats.org/officeDocument/2006/relationships/hyperlink" Target="http://www.fm.gov.lv/files/files/FMPask_D_081008.doc" TargetMode="External"/><Relationship Id="rId27" Type="http://schemas.openxmlformats.org/officeDocument/2006/relationships/hyperlink" Target="http://www.fm.gov.lv/files/files/55A2CC865196001266397306633770.doc" TargetMode="External"/><Relationship Id="rId30" Type="http://schemas.openxmlformats.org/officeDocument/2006/relationships/hyperlink" Target="http://www.fm.gov.lv/files/files/DC44E3447971001296636838135485.doc" TargetMode="External"/><Relationship Id="rId35" Type="http://schemas.openxmlformats.org/officeDocument/2006/relationships/hyperlink" Target="http://www.fm.gov.lv/files/files/E2B593513351001330693807234362.doc" TargetMode="External"/><Relationship Id="rId43" Type="http://schemas.openxmlformats.org/officeDocument/2006/relationships/hyperlink" Target="http://www.fm.gov.lv/files/valstsbudzets/budzetapaskaidrojumi/FMPask_D_270114_bud2014.pdf" TargetMode="External"/><Relationship Id="rId48" Type="http://schemas.openxmlformats.org/officeDocument/2006/relationships/hyperlink" Target="http://www.fm.gov.lv/files/valstsbudzets/budzetapaskaidrojumi/FMPask_D_270114_bud2014.pdf" TargetMode="External"/><Relationship Id="rId56" Type="http://schemas.openxmlformats.org/officeDocument/2006/relationships/hyperlink" Target="http://www.fm.gov.lv/files/valstsbudzets/FMPask_D_100217_bud2017.pdf" TargetMode="External"/><Relationship Id="rId64" Type="http://schemas.openxmlformats.org/officeDocument/2006/relationships/hyperlink" Target="http://www.fm.gov.lv/files/files/Paskaidrojumi.pdf" TargetMode="External"/><Relationship Id="rId8" Type="http://schemas.openxmlformats.org/officeDocument/2006/relationships/hyperlink" Target="http://www.fm.gov.lv/files/files/2005bud_sakotn.zip" TargetMode="External"/><Relationship Id="rId51" Type="http://schemas.openxmlformats.org/officeDocument/2006/relationships/hyperlink" Target="http://www.fm.gov.lv/files/valstsbudzets/2016/FMPask_D_180216_bud2016.pdf" TargetMode="External"/><Relationship Id="rId3" Type="http://schemas.openxmlformats.org/officeDocument/2006/relationships/hyperlink" Target="http://www.fm.gov.lv/files/files/Likums_Par_valsts_budzetu_2004_sakotnejs.zip" TargetMode="External"/><Relationship Id="rId12" Type="http://schemas.openxmlformats.org/officeDocument/2006/relationships/hyperlink" Target="http://www.fm.gov.lv/files/files/FMpask_D_E_F_G_071205.pdf" TargetMode="External"/><Relationship Id="rId17" Type="http://schemas.openxmlformats.org/officeDocument/2006/relationships/hyperlink" Target="http://www.fm.gov.lv/files/files/FMPask_e.doc" TargetMode="External"/><Relationship Id="rId25" Type="http://schemas.openxmlformats.org/officeDocument/2006/relationships/hyperlink" Target="http://www.fm.gov.lv/files/files/55A2CC865196001266397306633770.doc" TargetMode="External"/><Relationship Id="rId33" Type="http://schemas.openxmlformats.org/officeDocument/2006/relationships/hyperlink" Target="http://www.fm.gov.lv/files/files/E2B593513351001330693807234362.doc" TargetMode="External"/><Relationship Id="rId38" Type="http://schemas.openxmlformats.org/officeDocument/2006/relationships/hyperlink" Target="http://www.fm.gov.lv/files/valstsbudzets/budzetapaskaidrojumi/FMPask_D_310113_bud2013.pdf" TargetMode="External"/><Relationship Id="rId46" Type="http://schemas.openxmlformats.org/officeDocument/2006/relationships/hyperlink" Target="http://www.fm.gov.lv/files/valstsbudzets/budzetapaskaidrojumi/FMPask_D_020315_bud2015.pdf" TargetMode="External"/><Relationship Id="rId59" Type="http://schemas.openxmlformats.org/officeDocument/2006/relationships/hyperlink" Target="http://titania.saeima.lv/LIVS12/saeimalivs12.nsf/0/29F94E8683D7D2BFC22581B6002A8480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2"/>
  <sheetViews>
    <sheetView tabSelected="1" zoomScale="60" zoomScaleNormal="60" workbookViewId="0">
      <selection activeCell="B1" sqref="B1"/>
    </sheetView>
  </sheetViews>
  <sheetFormatPr defaultRowHeight="15" x14ac:dyDescent="0.25"/>
  <cols>
    <col min="1" max="1" width="6.28515625" customWidth="1"/>
    <col min="2" max="2" width="16.140625" customWidth="1"/>
  </cols>
  <sheetData>
    <row r="1" spans="1:19" ht="14.45" customHeight="1" x14ac:dyDescent="0.25">
      <c r="A1" s="118" t="s">
        <v>145</v>
      </c>
      <c r="C1" s="79">
        <v>0</v>
      </c>
      <c r="D1" s="79">
        <v>0</v>
      </c>
      <c r="E1" s="79">
        <v>0</v>
      </c>
      <c r="F1" s="79">
        <v>0</v>
      </c>
      <c r="G1" s="79">
        <v>0</v>
      </c>
      <c r="H1" s="79">
        <v>0</v>
      </c>
      <c r="I1" s="79">
        <v>0</v>
      </c>
      <c r="J1" s="79">
        <v>0</v>
      </c>
      <c r="K1" s="79">
        <v>0</v>
      </c>
      <c r="L1" s="79">
        <v>0</v>
      </c>
      <c r="M1" s="79">
        <v>0</v>
      </c>
      <c r="N1" s="79">
        <v>0</v>
      </c>
      <c r="O1" s="79">
        <v>0</v>
      </c>
      <c r="P1" s="79">
        <v>0</v>
      </c>
      <c r="Q1" s="79">
        <v>0</v>
      </c>
      <c r="R1" s="79">
        <v>0</v>
      </c>
      <c r="S1" s="79">
        <v>0</v>
      </c>
    </row>
    <row r="2" spans="1:19" x14ac:dyDescent="0.25">
      <c r="A2" s="119"/>
      <c r="B2" s="79" t="s">
        <v>146</v>
      </c>
      <c r="C2" s="49" t="s">
        <v>61</v>
      </c>
      <c r="D2" s="49" t="s">
        <v>62</v>
      </c>
      <c r="E2" s="49" t="s">
        <v>63</v>
      </c>
      <c r="F2" s="49" t="s">
        <v>51</v>
      </c>
      <c r="G2" s="49" t="s">
        <v>52</v>
      </c>
      <c r="H2" s="49" t="s">
        <v>50</v>
      </c>
      <c r="I2" s="49" t="s">
        <v>33</v>
      </c>
      <c r="J2" s="49" t="s">
        <v>34</v>
      </c>
      <c r="K2" s="49" t="s">
        <v>35</v>
      </c>
      <c r="L2" s="49" t="s">
        <v>36</v>
      </c>
      <c r="M2" s="49" t="s">
        <v>37</v>
      </c>
      <c r="N2" s="49" t="s">
        <v>38</v>
      </c>
      <c r="O2" s="1" t="s">
        <v>39</v>
      </c>
      <c r="P2" s="1" t="s">
        <v>40</v>
      </c>
      <c r="Q2" s="80" t="s">
        <v>147</v>
      </c>
      <c r="R2" s="80" t="s">
        <v>148</v>
      </c>
      <c r="S2" s="80" t="s">
        <v>149</v>
      </c>
    </row>
    <row r="3" spans="1:19" ht="25.5" x14ac:dyDescent="0.25">
      <c r="B3" s="4" t="s">
        <v>100</v>
      </c>
      <c r="C3" s="15">
        <v>16.100000000000001</v>
      </c>
      <c r="D3" s="15">
        <v>20.399999999999999</v>
      </c>
      <c r="E3" s="15">
        <v>24.3</v>
      </c>
      <c r="F3" s="15">
        <v>24.9</v>
      </c>
      <c r="G3" s="15">
        <v>9.9</v>
      </c>
      <c r="H3" s="15">
        <v>-19.2</v>
      </c>
      <c r="I3" s="15">
        <v>-2.5</v>
      </c>
      <c r="J3" s="15">
        <v>11.2</v>
      </c>
      <c r="K3" s="15">
        <v>8.6999999999999993</v>
      </c>
      <c r="L3" s="15">
        <v>5.3</v>
      </c>
      <c r="M3" s="15">
        <v>3.6</v>
      </c>
      <c r="N3" s="15">
        <v>3.4</v>
      </c>
      <c r="O3" s="15">
        <v>2.7</v>
      </c>
      <c r="P3" s="81"/>
      <c r="Q3" s="81"/>
      <c r="R3" s="81"/>
      <c r="S3" s="81"/>
    </row>
    <row r="4" spans="1:19" ht="25.5" x14ac:dyDescent="0.25">
      <c r="B4" s="4" t="s">
        <v>96</v>
      </c>
      <c r="C4" s="15">
        <v>15.7</v>
      </c>
      <c r="D4" s="15">
        <v>23.1</v>
      </c>
      <c r="E4" s="15">
        <v>25.8</v>
      </c>
      <c r="F4" s="15">
        <v>32.1</v>
      </c>
      <c r="G4" s="15">
        <v>7.8</v>
      </c>
      <c r="H4" s="15">
        <v>-22.7</v>
      </c>
      <c r="I4" s="15">
        <v>-4.7</v>
      </c>
      <c r="J4" s="15">
        <v>13.2</v>
      </c>
      <c r="K4" s="15">
        <v>7.8</v>
      </c>
      <c r="L4" s="15">
        <v>4.3</v>
      </c>
      <c r="M4" s="15">
        <v>3.7</v>
      </c>
      <c r="N4" s="15">
        <v>2.8</v>
      </c>
      <c r="O4" s="15">
        <v>2.4</v>
      </c>
      <c r="P4" s="81"/>
      <c r="Q4" s="81"/>
      <c r="R4" s="81"/>
      <c r="S4" s="81"/>
    </row>
    <row r="5" spans="1:19" ht="25.5" x14ac:dyDescent="0.25">
      <c r="B5" s="4" t="s">
        <v>97</v>
      </c>
      <c r="C5" s="15">
        <v>16.481579570718267</v>
      </c>
      <c r="D5" s="15">
        <v>21.297314499882077</v>
      </c>
      <c r="E5" s="15">
        <v>23.623830071667626</v>
      </c>
      <c r="F5" s="15">
        <v>32.30186193664251</v>
      </c>
      <c r="G5" s="15">
        <v>9.2662675314712608</v>
      </c>
      <c r="H5" s="15">
        <v>-18.739977440844481</v>
      </c>
      <c r="I5" s="15">
        <v>-2.1905333766436486</v>
      </c>
      <c r="J5" s="15">
        <v>11.663663673569015</v>
      </c>
      <c r="K5" s="15">
        <v>8.7182359321985157</v>
      </c>
      <c r="L5" s="15">
        <v>5.5827513533242827</v>
      </c>
      <c r="M5" s="81"/>
      <c r="N5" s="81"/>
      <c r="O5" s="81"/>
      <c r="P5" s="82"/>
      <c r="Q5" s="83"/>
      <c r="R5" s="83"/>
      <c r="S5" s="83"/>
    </row>
    <row r="6" spans="1:19" s="29" customFormat="1" x14ac:dyDescent="0.25">
      <c r="A6" s="111">
        <v>2017</v>
      </c>
      <c r="B6" s="4" t="s">
        <v>150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78">
        <v>6.6</v>
      </c>
    </row>
    <row r="7" spans="1:19" s="29" customFormat="1" x14ac:dyDescent="0.25">
      <c r="A7" s="84">
        <v>2004</v>
      </c>
      <c r="B7" s="4" t="s">
        <v>0</v>
      </c>
      <c r="C7" s="5">
        <v>13.9</v>
      </c>
      <c r="D7" s="15">
        <v>11.1</v>
      </c>
      <c r="E7" s="16">
        <v>9.6</v>
      </c>
      <c r="F7" s="17">
        <v>9.1</v>
      </c>
      <c r="G7" s="23"/>
      <c r="H7" s="23"/>
      <c r="I7" s="18"/>
      <c r="J7" s="18"/>
      <c r="K7" s="18"/>
      <c r="L7" s="18"/>
      <c r="M7" s="18"/>
      <c r="N7" s="18"/>
      <c r="O7" s="18"/>
      <c r="P7" s="30"/>
    </row>
    <row r="8" spans="1:19" s="29" customFormat="1" x14ac:dyDescent="0.25">
      <c r="A8" s="84">
        <v>2005</v>
      </c>
      <c r="B8" s="4" t="s">
        <v>0</v>
      </c>
      <c r="C8" s="31"/>
      <c r="D8" s="5">
        <v>14.6</v>
      </c>
      <c r="E8" s="15">
        <v>12.3</v>
      </c>
      <c r="F8" s="16">
        <v>10.5</v>
      </c>
      <c r="G8" s="17">
        <v>10.1</v>
      </c>
      <c r="H8" s="23"/>
      <c r="I8" s="23"/>
      <c r="J8" s="18"/>
      <c r="K8" s="18"/>
      <c r="L8" s="18"/>
      <c r="M8" s="18"/>
      <c r="N8" s="18"/>
      <c r="O8" s="18"/>
      <c r="P8" s="30"/>
    </row>
    <row r="9" spans="1:19" x14ac:dyDescent="0.25">
      <c r="A9" s="84">
        <v>2006</v>
      </c>
      <c r="B9" s="4" t="s">
        <v>0</v>
      </c>
      <c r="C9" s="31"/>
      <c r="D9" s="18"/>
      <c r="E9" s="5">
        <v>21.4</v>
      </c>
      <c r="F9" s="15">
        <v>17.100000000000001</v>
      </c>
      <c r="G9" s="16">
        <v>14</v>
      </c>
      <c r="H9" s="17">
        <v>12.3</v>
      </c>
      <c r="I9" s="18"/>
      <c r="J9" s="18"/>
      <c r="K9" s="18"/>
      <c r="L9" s="18"/>
      <c r="M9" s="18"/>
      <c r="N9" s="18"/>
      <c r="O9" s="18"/>
      <c r="P9" s="30"/>
    </row>
    <row r="10" spans="1:19" x14ac:dyDescent="0.25">
      <c r="A10" s="84">
        <v>2007</v>
      </c>
      <c r="B10" s="4" t="s">
        <v>0</v>
      </c>
      <c r="C10" s="32"/>
      <c r="D10" s="5"/>
      <c r="E10" s="5"/>
      <c r="F10" s="5">
        <v>20.9</v>
      </c>
      <c r="G10" s="15">
        <v>15.9</v>
      </c>
      <c r="H10" s="16">
        <v>13.9</v>
      </c>
      <c r="I10" s="17">
        <v>12.6</v>
      </c>
      <c r="J10" s="18"/>
      <c r="K10" s="18"/>
      <c r="L10" s="18"/>
      <c r="M10" s="18"/>
      <c r="N10" s="18"/>
      <c r="O10" s="18"/>
      <c r="P10" s="30"/>
    </row>
    <row r="11" spans="1:19" x14ac:dyDescent="0.25">
      <c r="A11" s="84">
        <v>2008</v>
      </c>
      <c r="B11" s="4" t="s">
        <v>0</v>
      </c>
      <c r="C11" s="31"/>
      <c r="D11" s="18"/>
      <c r="E11" s="18"/>
      <c r="F11" s="18"/>
      <c r="G11" s="5">
        <v>15.3</v>
      </c>
      <c r="H11" s="15">
        <v>10.7</v>
      </c>
      <c r="I11" s="16">
        <v>10.7</v>
      </c>
      <c r="J11" s="17">
        <v>10.3</v>
      </c>
      <c r="K11" s="18"/>
      <c r="L11" s="18"/>
      <c r="M11" s="18"/>
      <c r="N11" s="18"/>
      <c r="O11" s="18"/>
      <c r="P11" s="30"/>
    </row>
    <row r="12" spans="1:19" x14ac:dyDescent="0.25">
      <c r="A12" s="84">
        <v>2009</v>
      </c>
      <c r="B12" s="4" t="s">
        <v>0</v>
      </c>
      <c r="C12" s="31"/>
      <c r="D12" s="18"/>
      <c r="E12" s="18"/>
      <c r="F12" s="18"/>
      <c r="G12" s="18"/>
      <c r="H12" s="5">
        <v>-19.7</v>
      </c>
      <c r="I12" s="15">
        <v>-8.8000000000000007</v>
      </c>
      <c r="J12" s="16">
        <v>-0.3</v>
      </c>
      <c r="K12" s="17">
        <v>4.2</v>
      </c>
      <c r="L12" s="20"/>
      <c r="M12" s="20"/>
      <c r="N12" s="20"/>
      <c r="O12" s="20"/>
      <c r="P12" s="20"/>
    </row>
    <row r="13" spans="1:19" x14ac:dyDescent="0.25">
      <c r="A13" s="84">
        <v>2010</v>
      </c>
      <c r="B13" s="4" t="s">
        <v>0</v>
      </c>
      <c r="C13" s="32"/>
      <c r="D13" s="5"/>
      <c r="E13" s="5"/>
      <c r="F13" s="5"/>
      <c r="G13" s="5"/>
      <c r="H13" s="5"/>
      <c r="I13" s="5">
        <v>-3.4</v>
      </c>
      <c r="J13" s="15">
        <v>3.9</v>
      </c>
      <c r="K13" s="16">
        <v>5.0999999999999996</v>
      </c>
      <c r="L13" s="17">
        <v>5.5</v>
      </c>
      <c r="M13" s="23"/>
      <c r="N13" s="20"/>
      <c r="O13" s="20"/>
      <c r="P13" s="20"/>
    </row>
    <row r="14" spans="1:19" x14ac:dyDescent="0.25">
      <c r="A14" s="84">
        <v>2011</v>
      </c>
      <c r="B14" s="4" t="s">
        <v>0</v>
      </c>
      <c r="C14" s="32"/>
      <c r="D14" s="5"/>
      <c r="E14" s="5"/>
      <c r="F14" s="5"/>
      <c r="G14" s="5"/>
      <c r="H14" s="5"/>
      <c r="I14" s="5"/>
      <c r="J14" s="5">
        <v>8.6999999999999993</v>
      </c>
      <c r="K14" s="15">
        <v>4.3</v>
      </c>
      <c r="L14" s="16">
        <v>6.1</v>
      </c>
      <c r="M14" s="17">
        <v>6.1</v>
      </c>
      <c r="N14" s="20"/>
      <c r="O14" s="20"/>
      <c r="P14" s="20"/>
    </row>
    <row r="15" spans="1:19" x14ac:dyDescent="0.25">
      <c r="A15" s="84">
        <v>2012</v>
      </c>
      <c r="B15" s="4" t="s">
        <v>0</v>
      </c>
      <c r="C15" s="33"/>
      <c r="D15" s="21"/>
      <c r="E15" s="21"/>
      <c r="F15" s="21"/>
      <c r="G15" s="21"/>
      <c r="H15" s="21"/>
      <c r="I15" s="21"/>
      <c r="J15" s="21"/>
      <c r="K15" s="5">
        <v>6.7</v>
      </c>
      <c r="L15" s="15">
        <v>5.8</v>
      </c>
      <c r="M15" s="16">
        <v>6.1</v>
      </c>
      <c r="N15" s="17">
        <v>6.1</v>
      </c>
      <c r="O15" s="20"/>
      <c r="P15" s="20"/>
    </row>
    <row r="16" spans="1:19" x14ac:dyDescent="0.25">
      <c r="A16" s="84">
        <v>2013</v>
      </c>
      <c r="B16" s="4" t="s">
        <v>0</v>
      </c>
      <c r="C16" s="33"/>
      <c r="D16" s="21"/>
      <c r="E16" s="21"/>
      <c r="F16" s="21"/>
      <c r="G16" s="21"/>
      <c r="H16" s="21"/>
      <c r="I16" s="21"/>
      <c r="J16" s="21"/>
      <c r="K16" s="21"/>
      <c r="L16" s="5">
        <v>5.2</v>
      </c>
      <c r="M16" s="15">
        <v>6.6</v>
      </c>
      <c r="N16" s="16">
        <v>6.6</v>
      </c>
      <c r="O16" s="17">
        <v>6.6</v>
      </c>
      <c r="P16" s="20"/>
    </row>
    <row r="17" spans="1:19" x14ac:dyDescent="0.25">
      <c r="A17" s="84">
        <v>2014</v>
      </c>
      <c r="B17" s="4" t="s">
        <v>0</v>
      </c>
      <c r="C17" s="33"/>
      <c r="D17" s="21"/>
      <c r="E17" s="21"/>
      <c r="F17" s="21"/>
      <c r="G17" s="21"/>
      <c r="H17" s="21"/>
      <c r="I17" s="21"/>
      <c r="J17" s="21"/>
      <c r="K17" s="21"/>
      <c r="L17" s="21"/>
      <c r="M17" s="5">
        <v>3.8</v>
      </c>
      <c r="N17" s="15">
        <v>5.2</v>
      </c>
      <c r="O17" s="16">
        <v>5.9</v>
      </c>
      <c r="P17" s="17">
        <v>6.2</v>
      </c>
    </row>
    <row r="18" spans="1:19" x14ac:dyDescent="0.25">
      <c r="A18" s="84">
        <v>2015</v>
      </c>
      <c r="B18" s="4" t="s">
        <v>0</v>
      </c>
      <c r="C18" s="33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5">
        <v>3.2</v>
      </c>
      <c r="O18" s="15">
        <v>5.2</v>
      </c>
      <c r="P18" s="16">
        <v>6.2</v>
      </c>
      <c r="Q18" s="17">
        <v>6.2</v>
      </c>
      <c r="S18" s="29"/>
    </row>
    <row r="19" spans="1:19" x14ac:dyDescent="0.25">
      <c r="A19" s="84">
        <v>2016</v>
      </c>
      <c r="B19" s="4" t="s">
        <v>0</v>
      </c>
      <c r="C19" s="33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5">
        <v>2.8</v>
      </c>
      <c r="P19" s="15">
        <v>5.3</v>
      </c>
      <c r="Q19" s="16">
        <v>5.7</v>
      </c>
      <c r="R19" s="17">
        <v>6.1</v>
      </c>
    </row>
    <row r="20" spans="1:19" x14ac:dyDescent="0.25">
      <c r="A20" s="84">
        <v>2017</v>
      </c>
      <c r="B20" s="4" t="s">
        <v>0</v>
      </c>
      <c r="C20" s="18"/>
      <c r="D20" s="18"/>
      <c r="E20" s="18"/>
      <c r="F20" s="18"/>
      <c r="G20" s="5"/>
      <c r="H20" s="18"/>
      <c r="I20" s="18"/>
      <c r="J20" s="5"/>
      <c r="K20" s="5"/>
      <c r="L20" s="21"/>
      <c r="M20" s="4"/>
      <c r="N20" s="4"/>
      <c r="O20" s="4"/>
      <c r="P20" s="85">
        <v>6.6</v>
      </c>
      <c r="Q20" s="86">
        <v>6.3</v>
      </c>
      <c r="R20" s="87">
        <v>5.7</v>
      </c>
      <c r="S20" s="88">
        <v>5.6</v>
      </c>
    </row>
    <row r="21" spans="1:19" x14ac:dyDescent="0.25">
      <c r="B21" s="13"/>
      <c r="C21" s="9"/>
      <c r="D21" s="9"/>
      <c r="E21" s="9"/>
      <c r="F21" s="9"/>
      <c r="G21" s="9"/>
      <c r="H21" s="9"/>
      <c r="I21" s="9"/>
      <c r="J21" s="13"/>
      <c r="K21" s="9"/>
      <c r="L21" s="13"/>
      <c r="M21" s="9"/>
      <c r="N21" s="13"/>
      <c r="O21" s="9"/>
      <c r="P21" s="10"/>
    </row>
    <row r="22" spans="1:19" x14ac:dyDescent="0.25">
      <c r="B22" s="25"/>
      <c r="C22" s="96" t="s">
        <v>61</v>
      </c>
      <c r="D22" s="49" t="s">
        <v>62</v>
      </c>
      <c r="E22" s="49" t="s">
        <v>63</v>
      </c>
      <c r="F22" s="49" t="s">
        <v>51</v>
      </c>
      <c r="G22" s="49" t="s">
        <v>52</v>
      </c>
      <c r="H22" s="49" t="s">
        <v>50</v>
      </c>
      <c r="I22" s="49" t="s">
        <v>33</v>
      </c>
      <c r="J22" s="49" t="s">
        <v>34</v>
      </c>
      <c r="K22" s="49" t="s">
        <v>35</v>
      </c>
      <c r="L22" s="49" t="s">
        <v>36</v>
      </c>
      <c r="M22" s="49" t="s">
        <v>37</v>
      </c>
      <c r="N22" s="49" t="s">
        <v>38</v>
      </c>
      <c r="O22" s="1" t="s">
        <v>39</v>
      </c>
      <c r="P22" s="1" t="s">
        <v>40</v>
      </c>
      <c r="Q22" s="80" t="s">
        <v>147</v>
      </c>
      <c r="R22" s="80" t="s">
        <v>148</v>
      </c>
      <c r="S22" s="80" t="s">
        <v>149</v>
      </c>
    </row>
    <row r="23" spans="1:19" ht="25.5" x14ac:dyDescent="0.25">
      <c r="B23" s="4" t="s">
        <v>101</v>
      </c>
      <c r="C23" s="15">
        <v>8.3000000000000007</v>
      </c>
      <c r="D23" s="15">
        <v>10.199999999999999</v>
      </c>
      <c r="E23" s="15">
        <v>11.9</v>
      </c>
      <c r="F23" s="15">
        <v>10.3</v>
      </c>
      <c r="G23" s="15">
        <v>-4.5999999999999996</v>
      </c>
      <c r="H23" s="15">
        <v>-18</v>
      </c>
      <c r="I23" s="15">
        <v>-0.3</v>
      </c>
      <c r="J23" s="15">
        <v>5.5</v>
      </c>
      <c r="K23" s="15">
        <v>5.6</v>
      </c>
      <c r="L23" s="15">
        <v>4.2</v>
      </c>
      <c r="M23" s="15">
        <v>2.4</v>
      </c>
      <c r="N23" s="15">
        <v>2.7</v>
      </c>
      <c r="O23" s="15">
        <v>2</v>
      </c>
      <c r="P23" s="81"/>
      <c r="Q23" s="81"/>
      <c r="R23" s="81"/>
      <c r="S23" s="81"/>
    </row>
    <row r="24" spans="1:19" ht="25.5" x14ac:dyDescent="0.25">
      <c r="B24" s="4" t="s">
        <v>94</v>
      </c>
      <c r="C24" s="15">
        <v>8.2999999999999972</v>
      </c>
      <c r="D24" s="15">
        <v>10.700000000000003</v>
      </c>
      <c r="E24" s="15">
        <v>11.900000000000006</v>
      </c>
      <c r="F24" s="15">
        <v>10</v>
      </c>
      <c r="G24" s="15">
        <v>-3.5</v>
      </c>
      <c r="H24" s="15">
        <v>-14.400000000000006</v>
      </c>
      <c r="I24" s="15">
        <v>-3.9000000000000057</v>
      </c>
      <c r="J24" s="15">
        <v>6.4000000000000057</v>
      </c>
      <c r="K24" s="15">
        <v>4</v>
      </c>
      <c r="L24" s="15">
        <v>2.5999999999999943</v>
      </c>
      <c r="M24" s="15">
        <v>1.9000000000000057</v>
      </c>
      <c r="N24" s="15">
        <v>2.7999999999999972</v>
      </c>
      <c r="O24" s="15">
        <v>2.0999999999999943</v>
      </c>
      <c r="P24" s="81"/>
      <c r="Q24" s="81"/>
      <c r="R24" s="81"/>
      <c r="S24" s="81"/>
    </row>
    <row r="25" spans="1:19" ht="25.5" x14ac:dyDescent="0.25">
      <c r="B25" s="4" t="s">
        <v>95</v>
      </c>
      <c r="C25" s="15">
        <v>8.8271662011556327</v>
      </c>
      <c r="D25" s="15">
        <v>10.098466345875556</v>
      </c>
      <c r="E25" s="15">
        <v>10.988177506469857</v>
      </c>
      <c r="F25" s="15">
        <v>9.9870549212954582</v>
      </c>
      <c r="G25" s="15">
        <v>-2.7714461598629407</v>
      </c>
      <c r="H25" s="15">
        <v>-17.699033956598377</v>
      </c>
      <c r="I25" s="15">
        <v>-1.3066131481671377</v>
      </c>
      <c r="J25" s="15">
        <v>5.306487211676977</v>
      </c>
      <c r="K25" s="15">
        <v>5.2167352076547626</v>
      </c>
      <c r="L25" s="15">
        <v>4.1100958052690046</v>
      </c>
      <c r="M25" s="81"/>
      <c r="N25" s="81"/>
      <c r="O25" s="81"/>
      <c r="P25" s="81"/>
      <c r="Q25" s="81"/>
      <c r="R25" s="81"/>
      <c r="S25" s="81"/>
    </row>
    <row r="26" spans="1:19" s="29" customFormat="1" x14ac:dyDescent="0.25">
      <c r="A26" s="111">
        <v>2017</v>
      </c>
      <c r="B26" s="4" t="s">
        <v>150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78">
        <v>3.7</v>
      </c>
    </row>
    <row r="27" spans="1:19" s="29" customFormat="1" x14ac:dyDescent="0.25">
      <c r="A27" s="84">
        <v>2004</v>
      </c>
      <c r="B27" s="28" t="s">
        <v>15</v>
      </c>
      <c r="C27" s="5">
        <v>7.5</v>
      </c>
      <c r="D27" s="15">
        <v>6.7</v>
      </c>
      <c r="E27" s="16">
        <v>6.5</v>
      </c>
      <c r="F27" s="17">
        <v>6.5</v>
      </c>
      <c r="G27" s="23"/>
      <c r="H27" s="23"/>
      <c r="I27" s="18"/>
      <c r="J27" s="18"/>
      <c r="K27" s="18"/>
      <c r="L27" s="18"/>
      <c r="M27" s="18"/>
      <c r="N27" s="18"/>
      <c r="O27" s="18"/>
      <c r="P27" s="27"/>
    </row>
    <row r="28" spans="1:19" s="29" customFormat="1" x14ac:dyDescent="0.25">
      <c r="A28" s="84">
        <v>2005</v>
      </c>
      <c r="B28" s="28" t="s">
        <v>15</v>
      </c>
      <c r="C28" s="18"/>
      <c r="D28" s="5">
        <v>7.5</v>
      </c>
      <c r="E28" s="15">
        <v>7.5</v>
      </c>
      <c r="F28" s="16">
        <v>7</v>
      </c>
      <c r="G28" s="17">
        <v>7</v>
      </c>
      <c r="H28" s="23"/>
      <c r="I28" s="23"/>
      <c r="J28" s="18"/>
      <c r="K28" s="18"/>
      <c r="L28" s="18"/>
      <c r="M28" s="18"/>
      <c r="N28" s="18"/>
      <c r="O28" s="18"/>
      <c r="P28" s="27"/>
    </row>
    <row r="29" spans="1:19" x14ac:dyDescent="0.25">
      <c r="A29" s="84">
        <v>2006</v>
      </c>
      <c r="B29" s="28" t="s">
        <v>15</v>
      </c>
      <c r="C29" s="18"/>
      <c r="D29" s="18"/>
      <c r="E29" s="18">
        <v>11</v>
      </c>
      <c r="F29" s="15">
        <v>9</v>
      </c>
      <c r="G29" s="16">
        <v>7.5</v>
      </c>
      <c r="H29" s="17">
        <v>7.5</v>
      </c>
      <c r="I29" s="18"/>
      <c r="J29" s="18"/>
      <c r="K29" s="18"/>
      <c r="L29" s="18"/>
      <c r="M29" s="18"/>
      <c r="N29" s="18"/>
      <c r="O29" s="18"/>
      <c r="P29" s="27"/>
    </row>
    <row r="30" spans="1:19" x14ac:dyDescent="0.25">
      <c r="A30" s="84">
        <v>2007</v>
      </c>
      <c r="B30" s="4" t="s">
        <v>15</v>
      </c>
      <c r="C30" s="5"/>
      <c r="D30" s="5"/>
      <c r="E30" s="5"/>
      <c r="F30" s="5">
        <v>9.5</v>
      </c>
      <c r="G30" s="15">
        <v>7.5</v>
      </c>
      <c r="H30" s="16">
        <v>7.5</v>
      </c>
      <c r="I30" s="17">
        <v>7.3</v>
      </c>
      <c r="J30" s="18"/>
      <c r="K30" s="18"/>
      <c r="L30" s="18"/>
      <c r="M30" s="18"/>
      <c r="N30" s="18"/>
      <c r="O30" s="18"/>
      <c r="P30" s="27"/>
    </row>
    <row r="31" spans="1:19" x14ac:dyDescent="0.25">
      <c r="A31" s="84">
        <v>2008</v>
      </c>
      <c r="B31" s="4" t="s">
        <v>15</v>
      </c>
      <c r="C31" s="18"/>
      <c r="D31" s="18"/>
      <c r="E31" s="18"/>
      <c r="F31" s="18"/>
      <c r="G31" s="5">
        <v>1.3</v>
      </c>
      <c r="H31" s="15">
        <v>2</v>
      </c>
      <c r="I31" s="16">
        <v>4.5</v>
      </c>
      <c r="J31" s="17">
        <v>5.5</v>
      </c>
      <c r="K31" s="18"/>
      <c r="L31" s="18"/>
      <c r="M31" s="18"/>
      <c r="N31" s="18"/>
      <c r="O31" s="18"/>
      <c r="P31" s="89"/>
    </row>
    <row r="32" spans="1:19" x14ac:dyDescent="0.25">
      <c r="A32" s="84">
        <v>2009</v>
      </c>
      <c r="B32" s="4" t="s">
        <v>15</v>
      </c>
      <c r="C32" s="18"/>
      <c r="D32" s="18"/>
      <c r="E32" s="18"/>
      <c r="F32" s="18"/>
      <c r="G32" s="18"/>
      <c r="H32" s="5">
        <v>-18</v>
      </c>
      <c r="I32" s="15">
        <v>-4</v>
      </c>
      <c r="J32" s="16">
        <v>2</v>
      </c>
      <c r="K32" s="17">
        <v>3.8</v>
      </c>
      <c r="L32" s="25"/>
      <c r="M32" s="90"/>
      <c r="N32" s="25"/>
      <c r="O32" s="90"/>
      <c r="P32" s="91"/>
    </row>
    <row r="33" spans="1:19" x14ac:dyDescent="0.25">
      <c r="A33" s="84">
        <v>2010</v>
      </c>
      <c r="B33" s="4" t="s">
        <v>15</v>
      </c>
      <c r="C33" s="5"/>
      <c r="D33" s="5"/>
      <c r="E33" s="5"/>
      <c r="F33" s="5"/>
      <c r="G33" s="5"/>
      <c r="H33" s="5"/>
      <c r="I33" s="5">
        <v>-0.4</v>
      </c>
      <c r="J33" s="15">
        <v>3.3</v>
      </c>
      <c r="K33" s="16">
        <v>4</v>
      </c>
      <c r="L33" s="17">
        <v>3.9</v>
      </c>
      <c r="M33" s="92"/>
      <c r="N33" s="25"/>
      <c r="O33" s="90"/>
      <c r="P33" s="91"/>
    </row>
    <row r="34" spans="1:19" x14ac:dyDescent="0.25">
      <c r="A34" s="84">
        <v>2011</v>
      </c>
      <c r="B34" s="4" t="s">
        <v>15</v>
      </c>
      <c r="C34" s="5"/>
      <c r="D34" s="5"/>
      <c r="E34" s="5"/>
      <c r="F34" s="5"/>
      <c r="G34" s="5"/>
      <c r="H34" s="5"/>
      <c r="I34" s="5"/>
      <c r="J34" s="5">
        <v>4.5</v>
      </c>
      <c r="K34" s="15">
        <v>2.5</v>
      </c>
      <c r="L34" s="16">
        <v>4</v>
      </c>
      <c r="M34" s="17">
        <v>4</v>
      </c>
      <c r="N34" s="25"/>
      <c r="O34" s="90"/>
      <c r="P34" s="91"/>
    </row>
    <row r="35" spans="1:19" x14ac:dyDescent="0.25">
      <c r="A35" s="84">
        <v>2012</v>
      </c>
      <c r="B35" s="4" t="s">
        <v>15</v>
      </c>
      <c r="C35" s="21"/>
      <c r="D35" s="21"/>
      <c r="E35" s="21"/>
      <c r="F35" s="21"/>
      <c r="G35" s="21"/>
      <c r="H35" s="21"/>
      <c r="I35" s="21"/>
      <c r="J35" s="21"/>
      <c r="K35" s="5">
        <v>4</v>
      </c>
      <c r="L35" s="15">
        <v>3.7</v>
      </c>
      <c r="M35" s="16">
        <v>4</v>
      </c>
      <c r="N35" s="17">
        <v>4</v>
      </c>
      <c r="O35" s="90"/>
      <c r="P35" s="91"/>
    </row>
    <row r="36" spans="1:19" x14ac:dyDescent="0.25">
      <c r="A36" s="84">
        <v>2013</v>
      </c>
      <c r="B36" s="4" t="s">
        <v>15</v>
      </c>
      <c r="C36" s="4"/>
      <c r="D36" s="4"/>
      <c r="E36" s="4"/>
      <c r="F36" s="4"/>
      <c r="G36" s="4"/>
      <c r="H36" s="4"/>
      <c r="I36" s="4"/>
      <c r="J36" s="4"/>
      <c r="K36" s="4"/>
      <c r="L36" s="5">
        <v>4.2</v>
      </c>
      <c r="M36" s="15">
        <v>4.2</v>
      </c>
      <c r="N36" s="16">
        <v>4</v>
      </c>
      <c r="O36" s="17">
        <v>4</v>
      </c>
      <c r="P36" s="10"/>
    </row>
    <row r="37" spans="1:19" x14ac:dyDescent="0.25">
      <c r="A37" s="84">
        <v>2014</v>
      </c>
      <c r="B37" s="4" t="s">
        <v>15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5">
        <v>2.9</v>
      </c>
      <c r="N37" s="15">
        <v>2.8</v>
      </c>
      <c r="O37" s="16">
        <v>3.3</v>
      </c>
      <c r="P37" s="17">
        <v>3.6</v>
      </c>
    </row>
    <row r="38" spans="1:19" x14ac:dyDescent="0.25">
      <c r="A38" s="84">
        <v>2015</v>
      </c>
      <c r="B38" s="4" t="s">
        <v>15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>
        <v>2.1</v>
      </c>
      <c r="O38" s="15">
        <v>3</v>
      </c>
      <c r="P38" s="16">
        <v>3.6</v>
      </c>
      <c r="Q38" s="17">
        <v>3.6</v>
      </c>
      <c r="R38" s="29"/>
      <c r="S38" s="29"/>
    </row>
    <row r="39" spans="1:19" x14ac:dyDescent="0.25">
      <c r="A39" s="84">
        <v>2016</v>
      </c>
      <c r="B39" s="4" t="s">
        <v>15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5">
        <v>2.5</v>
      </c>
      <c r="P39" s="15">
        <v>3.5</v>
      </c>
      <c r="Q39" s="16">
        <v>3.4</v>
      </c>
      <c r="R39" s="17">
        <v>3.4</v>
      </c>
      <c r="S39" s="29"/>
    </row>
    <row r="40" spans="1:19" x14ac:dyDescent="0.25">
      <c r="A40" s="84">
        <v>2017</v>
      </c>
      <c r="B40" s="4" t="s">
        <v>15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85">
        <v>3.7</v>
      </c>
      <c r="Q40" s="86">
        <v>3.4</v>
      </c>
      <c r="R40" s="87">
        <v>3.2</v>
      </c>
      <c r="S40" s="88">
        <v>3.2</v>
      </c>
    </row>
    <row r="41" spans="1:19" x14ac:dyDescent="0.25">
      <c r="B41" s="13"/>
      <c r="C41" s="9"/>
      <c r="D41" s="9"/>
      <c r="E41" s="9"/>
      <c r="F41" s="9"/>
      <c r="G41" s="9"/>
      <c r="H41" s="9"/>
      <c r="I41" s="9"/>
      <c r="J41" s="13"/>
      <c r="K41" s="9"/>
      <c r="L41" s="13"/>
      <c r="M41" s="9"/>
      <c r="N41" s="13"/>
      <c r="O41" s="9"/>
      <c r="P41" s="10"/>
    </row>
    <row r="42" spans="1:19" x14ac:dyDescent="0.25">
      <c r="B42" s="25"/>
      <c r="C42" s="49" t="s">
        <v>61</v>
      </c>
      <c r="D42" s="49" t="s">
        <v>62</v>
      </c>
      <c r="E42" s="49" t="s">
        <v>63</v>
      </c>
      <c r="F42" s="49" t="s">
        <v>51</v>
      </c>
      <c r="G42" s="49" t="s">
        <v>52</v>
      </c>
      <c r="H42" s="49" t="s">
        <v>50</v>
      </c>
      <c r="I42" s="49" t="s">
        <v>33</v>
      </c>
      <c r="J42" s="49" t="s">
        <v>34</v>
      </c>
      <c r="K42" s="49" t="s">
        <v>35</v>
      </c>
      <c r="L42" s="49" t="s">
        <v>36</v>
      </c>
      <c r="M42" s="49" t="s">
        <v>37</v>
      </c>
      <c r="N42" s="49" t="s">
        <v>38</v>
      </c>
      <c r="O42" s="1" t="s">
        <v>39</v>
      </c>
      <c r="P42" s="1" t="s">
        <v>40</v>
      </c>
      <c r="Q42" s="80" t="s">
        <v>147</v>
      </c>
      <c r="R42" s="80" t="s">
        <v>148</v>
      </c>
      <c r="S42" s="80" t="s">
        <v>149</v>
      </c>
    </row>
    <row r="43" spans="1:19" ht="25.5" x14ac:dyDescent="0.25">
      <c r="B43" s="4" t="s">
        <v>102</v>
      </c>
      <c r="C43" s="15">
        <v>7.2</v>
      </c>
      <c r="D43" s="15">
        <v>9.1999999999999993</v>
      </c>
      <c r="E43" s="15">
        <v>11.1</v>
      </c>
      <c r="F43" s="15">
        <v>13.3</v>
      </c>
      <c r="G43" s="15">
        <v>15.2</v>
      </c>
      <c r="H43" s="15">
        <v>-1.5</v>
      </c>
      <c r="I43" s="15">
        <v>-2.2000000000000002</v>
      </c>
      <c r="J43" s="15">
        <v>5.4</v>
      </c>
      <c r="K43" s="15">
        <v>3</v>
      </c>
      <c r="L43" s="15">
        <v>1.1000000000000001</v>
      </c>
      <c r="M43" s="15">
        <v>1.2</v>
      </c>
      <c r="N43" s="15">
        <v>0.6</v>
      </c>
      <c r="O43" s="15">
        <v>0.7</v>
      </c>
      <c r="P43" s="81"/>
      <c r="Q43" s="81"/>
      <c r="R43" s="81"/>
      <c r="S43" s="81"/>
    </row>
    <row r="44" spans="1:19" ht="25.5" x14ac:dyDescent="0.25">
      <c r="B44" s="4" t="s">
        <v>98</v>
      </c>
      <c r="C44" s="15">
        <v>6.8</v>
      </c>
      <c r="D44" s="15">
        <v>11.2</v>
      </c>
      <c r="E44" s="15">
        <v>12.4</v>
      </c>
      <c r="F44" s="15">
        <v>20.100000000000001</v>
      </c>
      <c r="G44" s="15">
        <v>11.8</v>
      </c>
      <c r="H44" s="15">
        <v>-9.6999999999999993</v>
      </c>
      <c r="I44" s="15">
        <v>-0.8</v>
      </c>
      <c r="J44" s="15">
        <v>6.4</v>
      </c>
      <c r="K44" s="15">
        <v>3.6</v>
      </c>
      <c r="L44" s="15">
        <v>1.7</v>
      </c>
      <c r="M44" s="15">
        <v>1.8</v>
      </c>
      <c r="N44" s="15">
        <v>0</v>
      </c>
      <c r="O44" s="15">
        <v>0.3</v>
      </c>
      <c r="P44" s="81"/>
      <c r="Q44" s="81"/>
      <c r="R44" s="81"/>
      <c r="S44" s="81"/>
    </row>
    <row r="45" spans="1:19" ht="25.5" x14ac:dyDescent="0.25">
      <c r="B45" s="4" t="s">
        <v>103</v>
      </c>
      <c r="C45" s="15">
        <v>7</v>
      </c>
      <c r="D45" s="15">
        <v>10.199999999999999</v>
      </c>
      <c r="E45" s="15">
        <v>11.4</v>
      </c>
      <c r="F45" s="15">
        <v>20.3</v>
      </c>
      <c r="G45" s="15">
        <v>12.4</v>
      </c>
      <c r="H45" s="15">
        <v>-1.3</v>
      </c>
      <c r="I45" s="15">
        <v>-0.9</v>
      </c>
      <c r="J45" s="15">
        <v>6</v>
      </c>
      <c r="K45" s="15">
        <v>3.3</v>
      </c>
      <c r="L45" s="81"/>
      <c r="M45" s="81"/>
      <c r="N45" s="81"/>
      <c r="O45" s="81"/>
      <c r="P45" s="81"/>
      <c r="Q45" s="81"/>
      <c r="R45" s="81"/>
      <c r="S45" s="81"/>
    </row>
    <row r="46" spans="1:19" s="29" customFormat="1" x14ac:dyDescent="0.25">
      <c r="A46" s="111">
        <v>2017</v>
      </c>
      <c r="B46" s="4" t="s">
        <v>150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78">
        <v>2.8</v>
      </c>
    </row>
    <row r="47" spans="1:19" s="29" customFormat="1" x14ac:dyDescent="0.25">
      <c r="A47" s="84">
        <v>2004</v>
      </c>
      <c r="B47" s="28" t="s">
        <v>1</v>
      </c>
      <c r="C47" s="5">
        <v>6</v>
      </c>
      <c r="D47" s="15">
        <v>4.0999999999999996</v>
      </c>
      <c r="E47" s="16">
        <v>2.9</v>
      </c>
      <c r="F47" s="17">
        <v>2.5</v>
      </c>
      <c r="G47" s="23"/>
      <c r="H47" s="23"/>
      <c r="I47" s="18"/>
      <c r="J47" s="18"/>
      <c r="K47" s="18"/>
      <c r="L47" s="18"/>
      <c r="M47" s="18"/>
      <c r="N47" s="18"/>
      <c r="O47" s="18"/>
      <c r="P47" s="27"/>
    </row>
    <row r="48" spans="1:19" s="29" customFormat="1" x14ac:dyDescent="0.25">
      <c r="A48" s="84">
        <v>2005</v>
      </c>
      <c r="B48" s="28" t="s">
        <v>1</v>
      </c>
      <c r="C48" s="18"/>
      <c r="D48" s="5">
        <v>6.6</v>
      </c>
      <c r="E48" s="15">
        <v>4.5</v>
      </c>
      <c r="F48" s="16">
        <v>3.3</v>
      </c>
      <c r="G48" s="17">
        <v>2.9</v>
      </c>
      <c r="H48" s="23"/>
      <c r="I48" s="23"/>
      <c r="J48" s="18"/>
      <c r="K48" s="18"/>
      <c r="L48" s="18"/>
      <c r="M48" s="18"/>
      <c r="N48" s="18"/>
      <c r="O48" s="18"/>
      <c r="P48" s="27"/>
    </row>
    <row r="49" spans="1:19" x14ac:dyDescent="0.25">
      <c r="A49" s="84">
        <v>2006</v>
      </c>
      <c r="B49" s="28" t="s">
        <v>1</v>
      </c>
      <c r="C49" s="18"/>
      <c r="D49" s="18"/>
      <c r="E49" s="18">
        <v>9.4</v>
      </c>
      <c r="F49" s="15">
        <v>7.4</v>
      </c>
      <c r="G49" s="16">
        <v>6</v>
      </c>
      <c r="H49" s="17">
        <v>4.5</v>
      </c>
      <c r="I49" s="18"/>
      <c r="J49" s="18"/>
      <c r="K49" s="18"/>
      <c r="L49" s="18"/>
      <c r="M49" s="18"/>
      <c r="N49" s="18"/>
      <c r="O49" s="18"/>
      <c r="P49" s="27"/>
    </row>
    <row r="50" spans="1:19" x14ac:dyDescent="0.25">
      <c r="A50" s="84">
        <v>2007</v>
      </c>
      <c r="B50" s="4" t="s">
        <v>1</v>
      </c>
      <c r="C50" s="5"/>
      <c r="D50" s="5"/>
      <c r="E50" s="5"/>
      <c r="F50" s="5">
        <v>10.5</v>
      </c>
      <c r="G50" s="15">
        <v>7.8</v>
      </c>
      <c r="H50" s="16">
        <v>6</v>
      </c>
      <c r="I50" s="17">
        <v>5</v>
      </c>
      <c r="J50" s="18"/>
      <c r="K50" s="18"/>
      <c r="L50" s="18"/>
      <c r="M50" s="18"/>
      <c r="N50" s="18"/>
      <c r="O50" s="18"/>
      <c r="P50" s="27"/>
    </row>
    <row r="51" spans="1:19" x14ac:dyDescent="0.25">
      <c r="A51" s="84">
        <v>2008</v>
      </c>
      <c r="B51" s="4" t="s">
        <v>1</v>
      </c>
      <c r="C51" s="18"/>
      <c r="D51" s="18"/>
      <c r="E51" s="18"/>
      <c r="F51" s="18"/>
      <c r="G51" s="5">
        <v>13.9</v>
      </c>
      <c r="H51" s="15">
        <v>8.6</v>
      </c>
      <c r="I51" s="16">
        <v>6</v>
      </c>
      <c r="J51" s="17">
        <v>4.5</v>
      </c>
      <c r="K51" s="18"/>
      <c r="L51" s="18"/>
      <c r="M51" s="18"/>
      <c r="N51" s="18"/>
      <c r="O51" s="18"/>
      <c r="P51" s="27"/>
    </row>
    <row r="52" spans="1:19" x14ac:dyDescent="0.25">
      <c r="A52" s="84">
        <v>2009</v>
      </c>
      <c r="B52" s="4" t="s">
        <v>1</v>
      </c>
      <c r="C52" s="18"/>
      <c r="D52" s="18"/>
      <c r="E52" s="18"/>
      <c r="F52" s="18"/>
      <c r="G52" s="18"/>
      <c r="H52" s="18">
        <v>-2.1</v>
      </c>
      <c r="I52" s="15">
        <v>-5</v>
      </c>
      <c r="J52" s="16">
        <v>-2.2000000000000002</v>
      </c>
      <c r="K52" s="17">
        <v>0.4</v>
      </c>
    </row>
    <row r="53" spans="1:19" x14ac:dyDescent="0.25">
      <c r="A53" s="84">
        <v>2010</v>
      </c>
      <c r="B53" s="4" t="s">
        <v>1</v>
      </c>
      <c r="C53" s="5"/>
      <c r="D53" s="5"/>
      <c r="E53" s="5"/>
      <c r="F53" s="5"/>
      <c r="G53" s="5"/>
      <c r="H53" s="5"/>
      <c r="I53" s="5">
        <f>I13-I33</f>
        <v>-3</v>
      </c>
      <c r="J53" s="15">
        <f>J13-J33</f>
        <v>0.60000000000000009</v>
      </c>
      <c r="K53" s="16">
        <v>1</v>
      </c>
      <c r="L53" s="17">
        <v>1.5</v>
      </c>
      <c r="M53" s="23"/>
    </row>
    <row r="54" spans="1:19" x14ac:dyDescent="0.25">
      <c r="A54" s="84">
        <v>2011</v>
      </c>
      <c r="B54" s="4" t="s">
        <v>1</v>
      </c>
      <c r="C54" s="5"/>
      <c r="D54" s="5"/>
      <c r="E54" s="5"/>
      <c r="F54" s="5"/>
      <c r="G54" s="5"/>
      <c r="H54" s="5"/>
      <c r="I54" s="5"/>
      <c r="J54" s="5">
        <v>4</v>
      </c>
      <c r="K54" s="15">
        <v>1.7</v>
      </c>
      <c r="L54" s="16">
        <v>2</v>
      </c>
      <c r="M54" s="17">
        <v>2</v>
      </c>
    </row>
    <row r="55" spans="1:19" x14ac:dyDescent="0.25">
      <c r="A55" s="84">
        <v>2012</v>
      </c>
      <c r="B55" s="4" t="s">
        <v>1</v>
      </c>
      <c r="C55" s="21"/>
      <c r="D55" s="21"/>
      <c r="E55" s="21"/>
      <c r="F55" s="21"/>
      <c r="G55" s="21"/>
      <c r="H55" s="21"/>
      <c r="I55" s="21"/>
      <c r="J55" s="21"/>
      <c r="K55" s="5">
        <v>2.6</v>
      </c>
      <c r="L55" s="15">
        <v>2</v>
      </c>
      <c r="M55" s="16">
        <v>2</v>
      </c>
      <c r="N55" s="17">
        <v>2</v>
      </c>
    </row>
    <row r="56" spans="1:19" x14ac:dyDescent="0.25">
      <c r="A56" s="84">
        <v>2013</v>
      </c>
      <c r="B56" s="4" t="s">
        <v>1</v>
      </c>
      <c r="C56" s="4"/>
      <c r="D56" s="4"/>
      <c r="E56" s="4"/>
      <c r="F56" s="4"/>
      <c r="G56" s="4"/>
      <c r="H56" s="4"/>
      <c r="I56" s="4"/>
      <c r="J56" s="4"/>
      <c r="K56" s="4"/>
      <c r="L56" s="5">
        <v>1</v>
      </c>
      <c r="M56" s="15">
        <v>2.2999999999999998</v>
      </c>
      <c r="N56" s="16">
        <v>2.5</v>
      </c>
      <c r="O56" s="17">
        <v>2.5</v>
      </c>
    </row>
    <row r="57" spans="1:19" x14ac:dyDescent="0.25">
      <c r="A57" s="84">
        <v>2014</v>
      </c>
      <c r="B57" s="4" t="s">
        <v>1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5">
        <v>0.9</v>
      </c>
      <c r="N57" s="15">
        <v>2.4</v>
      </c>
      <c r="O57" s="16">
        <v>2.5</v>
      </c>
      <c r="P57" s="17">
        <v>2.5</v>
      </c>
    </row>
    <row r="58" spans="1:19" x14ac:dyDescent="0.25">
      <c r="A58" s="84">
        <v>2015</v>
      </c>
      <c r="B58" s="4" t="s">
        <v>1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5">
        <v>1.1000000000000001</v>
      </c>
      <c r="O58" s="15">
        <v>2.1</v>
      </c>
      <c r="P58" s="16">
        <v>2.5</v>
      </c>
      <c r="Q58" s="17">
        <v>2.5</v>
      </c>
      <c r="R58" s="29"/>
      <c r="S58" s="29"/>
    </row>
    <row r="59" spans="1:19" x14ac:dyDescent="0.25">
      <c r="A59" s="84">
        <v>2016</v>
      </c>
      <c r="B59" s="4" t="s">
        <v>1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5">
        <v>0.3</v>
      </c>
      <c r="P59" s="15">
        <v>1.7</v>
      </c>
      <c r="Q59" s="16">
        <v>2.2000000000000002</v>
      </c>
      <c r="R59" s="17">
        <v>2.7</v>
      </c>
      <c r="S59" s="29"/>
    </row>
    <row r="60" spans="1:19" x14ac:dyDescent="0.25">
      <c r="A60" s="84">
        <v>2017</v>
      </c>
      <c r="B60" s="93" t="s">
        <v>1</v>
      </c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85">
        <v>2.8</v>
      </c>
      <c r="Q60" s="86">
        <v>2.8</v>
      </c>
      <c r="R60" s="87">
        <v>2.4</v>
      </c>
      <c r="S60" s="88">
        <v>2.2999999999999998</v>
      </c>
    </row>
    <row r="62" spans="1:19" x14ac:dyDescent="0.25">
      <c r="B62" s="25"/>
      <c r="C62" s="49" t="s">
        <v>61</v>
      </c>
      <c r="D62" s="49" t="s">
        <v>62</v>
      </c>
      <c r="E62" s="49" t="s">
        <v>63</v>
      </c>
      <c r="F62" s="49" t="s">
        <v>51</v>
      </c>
      <c r="G62" s="49" t="s">
        <v>52</v>
      </c>
      <c r="H62" s="49" t="s">
        <v>50</v>
      </c>
      <c r="I62" s="49" t="s">
        <v>33</v>
      </c>
      <c r="J62" s="49" t="s">
        <v>34</v>
      </c>
      <c r="K62" s="49" t="s">
        <v>35</v>
      </c>
      <c r="L62" s="49" t="s">
        <v>36</v>
      </c>
      <c r="M62" s="49" t="s">
        <v>37</v>
      </c>
      <c r="N62" s="49" t="s">
        <v>38</v>
      </c>
      <c r="O62" s="1" t="s">
        <v>39</v>
      </c>
      <c r="P62" s="1" t="s">
        <v>40</v>
      </c>
      <c r="Q62" s="80" t="s">
        <v>147</v>
      </c>
      <c r="R62" s="80" t="s">
        <v>148</v>
      </c>
      <c r="S62" s="80" t="s">
        <v>149</v>
      </c>
    </row>
    <row r="63" spans="1:19" ht="25.5" x14ac:dyDescent="0.25">
      <c r="B63" s="4" t="s">
        <v>131</v>
      </c>
      <c r="C63" s="15">
        <v>6.2</v>
      </c>
      <c r="D63" s="15">
        <v>6.7</v>
      </c>
      <c r="E63" s="15">
        <v>6.5</v>
      </c>
      <c r="F63" s="15">
        <v>10.1</v>
      </c>
      <c r="G63" s="15">
        <v>15.4</v>
      </c>
      <c r="H63" s="15">
        <v>3.5</v>
      </c>
      <c r="I63" s="15">
        <v>-1.1000000000000001</v>
      </c>
      <c r="J63" s="15">
        <v>4.4000000000000004</v>
      </c>
      <c r="K63" s="15">
        <v>2.2999999999999998</v>
      </c>
      <c r="L63" s="15">
        <v>0</v>
      </c>
      <c r="M63" s="15">
        <v>0.6</v>
      </c>
      <c r="N63" s="15">
        <v>0.2</v>
      </c>
      <c r="O63" s="15">
        <v>0.1</v>
      </c>
      <c r="P63" s="81"/>
      <c r="Q63" s="81"/>
      <c r="R63" s="81"/>
      <c r="S63" s="81"/>
    </row>
    <row r="64" spans="1:19" s="29" customFormat="1" x14ac:dyDescent="0.25">
      <c r="A64" s="111">
        <v>2017</v>
      </c>
      <c r="B64" s="4" t="s">
        <v>150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78">
        <v>2.8</v>
      </c>
    </row>
    <row r="65" spans="1:19" s="29" customFormat="1" x14ac:dyDescent="0.25">
      <c r="A65" s="84">
        <v>2004</v>
      </c>
      <c r="B65" s="28" t="s">
        <v>151</v>
      </c>
      <c r="C65" s="5">
        <v>6.3</v>
      </c>
      <c r="D65" s="15">
        <v>4.3</v>
      </c>
      <c r="E65" s="16">
        <v>3.2</v>
      </c>
      <c r="F65" s="17">
        <v>3</v>
      </c>
      <c r="G65" s="22"/>
      <c r="H65" s="23"/>
      <c r="I65" s="18"/>
      <c r="J65" s="18"/>
      <c r="K65" s="18"/>
      <c r="L65" s="18"/>
      <c r="M65" s="18"/>
      <c r="N65" s="18"/>
      <c r="O65" s="18"/>
      <c r="P65" s="27"/>
    </row>
    <row r="66" spans="1:19" s="29" customFormat="1" x14ac:dyDescent="0.25">
      <c r="A66" s="84">
        <v>2005</v>
      </c>
      <c r="B66" s="28" t="s">
        <v>151</v>
      </c>
      <c r="C66" s="18"/>
      <c r="D66" s="5">
        <v>6.4</v>
      </c>
      <c r="E66" s="15">
        <v>4.5</v>
      </c>
      <c r="F66" s="16">
        <v>2.8</v>
      </c>
      <c r="G66" s="17">
        <v>2.5</v>
      </c>
      <c r="H66" s="22"/>
      <c r="I66" s="23"/>
      <c r="J66" s="18"/>
      <c r="K66" s="18"/>
      <c r="L66" s="18"/>
      <c r="M66" s="18"/>
      <c r="N66" s="18"/>
      <c r="O66" s="18"/>
      <c r="P66" s="27"/>
    </row>
    <row r="67" spans="1:19" x14ac:dyDescent="0.25">
      <c r="A67" s="84">
        <v>2006</v>
      </c>
      <c r="B67" s="28" t="s">
        <v>151</v>
      </c>
      <c r="C67" s="18"/>
      <c r="D67" s="18"/>
      <c r="E67" s="18">
        <v>6.5</v>
      </c>
      <c r="F67" s="15">
        <v>5.9</v>
      </c>
      <c r="G67" s="16">
        <v>4.8</v>
      </c>
      <c r="H67" s="17">
        <v>3.8</v>
      </c>
      <c r="I67" s="18"/>
      <c r="J67" s="18"/>
      <c r="K67" s="18"/>
      <c r="L67" s="18"/>
      <c r="M67" s="18"/>
      <c r="N67" s="18"/>
      <c r="O67" s="18"/>
      <c r="P67" s="27"/>
    </row>
    <row r="68" spans="1:19" x14ac:dyDescent="0.25">
      <c r="A68" s="84">
        <v>2007</v>
      </c>
      <c r="B68" s="28" t="s">
        <v>151</v>
      </c>
      <c r="C68" s="5"/>
      <c r="D68" s="5"/>
      <c r="E68" s="5"/>
      <c r="F68" s="5">
        <v>8.8000000000000007</v>
      </c>
      <c r="G68" s="15">
        <v>6.3</v>
      </c>
      <c r="H68" s="16">
        <v>4.2</v>
      </c>
      <c r="I68" s="17">
        <v>3.2</v>
      </c>
      <c r="J68" s="18"/>
      <c r="K68" s="18"/>
      <c r="L68" s="18"/>
      <c r="M68" s="18"/>
      <c r="N68" s="18"/>
      <c r="O68" s="18"/>
      <c r="P68" s="27"/>
    </row>
    <row r="69" spans="1:19" x14ac:dyDescent="0.25">
      <c r="A69" s="84">
        <v>2008</v>
      </c>
      <c r="B69" s="28" t="s">
        <v>151</v>
      </c>
      <c r="C69" s="18"/>
      <c r="D69" s="18"/>
      <c r="E69" s="18"/>
      <c r="F69" s="18"/>
      <c r="G69" s="5">
        <v>16.2</v>
      </c>
      <c r="H69" s="15">
        <v>9.8000000000000007</v>
      </c>
      <c r="I69" s="16">
        <v>6.4</v>
      </c>
      <c r="J69" s="17">
        <v>5</v>
      </c>
      <c r="K69" s="18"/>
      <c r="L69" s="18"/>
      <c r="M69" s="18"/>
      <c r="N69" s="18"/>
      <c r="O69" s="18"/>
      <c r="P69" s="27"/>
    </row>
    <row r="70" spans="1:19" x14ac:dyDescent="0.25">
      <c r="A70" s="84">
        <v>2009</v>
      </c>
      <c r="B70" s="28" t="s">
        <v>151</v>
      </c>
      <c r="C70" s="18"/>
      <c r="D70" s="18"/>
      <c r="E70" s="18"/>
      <c r="F70" s="18"/>
      <c r="G70" s="18"/>
      <c r="H70" s="5">
        <v>3.5</v>
      </c>
      <c r="I70" s="15">
        <v>-3.7</v>
      </c>
      <c r="J70" s="16">
        <v>-2.8</v>
      </c>
      <c r="K70" s="17">
        <v>0</v>
      </c>
    </row>
    <row r="71" spans="1:19" x14ac:dyDescent="0.25">
      <c r="A71" s="84">
        <v>2010</v>
      </c>
      <c r="B71" s="28" t="s">
        <v>151</v>
      </c>
      <c r="C71" s="5"/>
      <c r="D71" s="5"/>
      <c r="E71" s="5"/>
      <c r="F71" s="5"/>
      <c r="G71" s="5"/>
      <c r="H71" s="5"/>
      <c r="I71" s="5">
        <v>-1.2</v>
      </c>
      <c r="J71" s="15">
        <v>1.1000000000000001</v>
      </c>
      <c r="K71" s="16">
        <v>1.5</v>
      </c>
      <c r="L71" s="17">
        <v>2</v>
      </c>
      <c r="M71" s="22"/>
    </row>
    <row r="72" spans="1:19" x14ac:dyDescent="0.25">
      <c r="A72" s="84">
        <v>2011</v>
      </c>
      <c r="B72" s="28" t="s">
        <v>151</v>
      </c>
      <c r="C72" s="5"/>
      <c r="D72" s="5"/>
      <c r="E72" s="5"/>
      <c r="F72" s="5"/>
      <c r="G72" s="5"/>
      <c r="H72" s="5"/>
      <c r="I72" s="5"/>
      <c r="J72" s="5">
        <v>4.4000000000000004</v>
      </c>
      <c r="K72" s="15">
        <v>2.4</v>
      </c>
      <c r="L72" s="16">
        <v>2</v>
      </c>
      <c r="M72" s="17">
        <v>2</v>
      </c>
    </row>
    <row r="73" spans="1:19" x14ac:dyDescent="0.25">
      <c r="A73" s="84">
        <v>2012</v>
      </c>
      <c r="B73" s="28" t="s">
        <v>151</v>
      </c>
      <c r="C73" s="21"/>
      <c r="D73" s="21"/>
      <c r="E73" s="21"/>
      <c r="F73" s="21"/>
      <c r="G73" s="21"/>
      <c r="H73" s="21"/>
      <c r="I73" s="21"/>
      <c r="J73" s="21"/>
      <c r="K73" s="5">
        <v>2.2999999999999998</v>
      </c>
      <c r="L73" s="15">
        <v>2</v>
      </c>
      <c r="M73" s="16">
        <v>2</v>
      </c>
      <c r="N73" s="17">
        <v>2</v>
      </c>
    </row>
    <row r="74" spans="1:19" x14ac:dyDescent="0.25">
      <c r="A74" s="84">
        <v>2013</v>
      </c>
      <c r="B74" s="28" t="s">
        <v>151</v>
      </c>
      <c r="C74" s="4"/>
      <c r="D74" s="4"/>
      <c r="E74" s="4"/>
      <c r="F74" s="4"/>
      <c r="G74" s="4"/>
      <c r="H74" s="4"/>
      <c r="I74" s="4"/>
      <c r="J74" s="4"/>
      <c r="K74" s="4"/>
      <c r="L74" s="5">
        <v>0.4</v>
      </c>
      <c r="M74" s="15">
        <v>2.2999999999999998</v>
      </c>
      <c r="N74" s="16">
        <v>2.5</v>
      </c>
      <c r="O74" s="17">
        <v>2.5</v>
      </c>
    </row>
    <row r="75" spans="1:19" x14ac:dyDescent="0.25">
      <c r="A75" s="84">
        <v>2014</v>
      </c>
      <c r="B75" s="28" t="s">
        <v>151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5">
        <v>0.8</v>
      </c>
      <c r="N75" s="15">
        <v>2.4</v>
      </c>
      <c r="O75" s="16">
        <v>2.5</v>
      </c>
      <c r="P75" s="17">
        <v>2.5</v>
      </c>
    </row>
    <row r="76" spans="1:19" x14ac:dyDescent="0.25">
      <c r="A76" s="84">
        <v>2015</v>
      </c>
      <c r="B76" s="28" t="s">
        <v>151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5">
        <v>0.8</v>
      </c>
      <c r="O76" s="15">
        <v>2</v>
      </c>
      <c r="P76" s="16">
        <v>2.5</v>
      </c>
      <c r="Q76" s="17">
        <v>2.5</v>
      </c>
      <c r="R76" s="29"/>
      <c r="S76" s="29"/>
    </row>
    <row r="77" spans="1:19" x14ac:dyDescent="0.25">
      <c r="A77" s="84">
        <v>2016</v>
      </c>
      <c r="B77" s="28" t="s">
        <v>151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5">
        <v>0</v>
      </c>
      <c r="P77" s="15">
        <v>1.6</v>
      </c>
      <c r="Q77" s="16">
        <v>2</v>
      </c>
      <c r="R77" s="17">
        <v>2.5</v>
      </c>
      <c r="S77" s="29"/>
    </row>
    <row r="78" spans="1:19" x14ac:dyDescent="0.25">
      <c r="A78" s="84">
        <v>2017</v>
      </c>
      <c r="B78" s="95" t="s">
        <v>151</v>
      </c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85">
        <v>2.8</v>
      </c>
      <c r="Q78" s="86">
        <v>2.8</v>
      </c>
      <c r="R78" s="87">
        <v>2.4</v>
      </c>
      <c r="S78" s="88">
        <v>2.1</v>
      </c>
    </row>
    <row r="80" spans="1:19" x14ac:dyDescent="0.25">
      <c r="A80" s="101" t="s">
        <v>157</v>
      </c>
    </row>
    <row r="81" spans="1:2" x14ac:dyDescent="0.25">
      <c r="A81" t="s">
        <v>155</v>
      </c>
      <c r="B81" s="99" t="s">
        <v>153</v>
      </c>
    </row>
    <row r="82" spans="1:2" x14ac:dyDescent="0.25">
      <c r="A82" t="s">
        <v>156</v>
      </c>
      <c r="B82" s="99" t="s">
        <v>154</v>
      </c>
    </row>
  </sheetData>
  <mergeCells count="1">
    <mergeCell ref="A1:A2"/>
  </mergeCells>
  <hyperlinks>
    <hyperlink ref="B81" r:id="rId1"/>
    <hyperlink ref="B82" r:id="rId2"/>
  </hyperlinks>
  <pageMargins left="0.70866141732283472" right="0.70866141732283472" top="0.74803149606299213" bottom="0.74803149606299213" header="0.31496062992125984" footer="0.31496062992125984"/>
  <pageSetup paperSize="9" scale="37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108"/>
  <sheetViews>
    <sheetView zoomScale="55" zoomScaleNormal="5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8.85546875" defaultRowHeight="15" x14ac:dyDescent="0.25"/>
  <cols>
    <col min="1" max="1" width="20.140625" style="11" customWidth="1"/>
    <col min="2" max="4" width="5.85546875" style="11" customWidth="1"/>
    <col min="5" max="5" width="1.5703125" style="11" customWidth="1"/>
    <col min="6" max="8" width="5.85546875" style="11" customWidth="1"/>
    <col min="9" max="9" width="1.5703125" style="11" customWidth="1"/>
    <col min="10" max="12" width="5.85546875" style="11" customWidth="1"/>
    <col min="13" max="13" width="1.5703125" style="11" customWidth="1"/>
    <col min="14" max="16" width="5.85546875" style="11" customWidth="1"/>
    <col min="17" max="17" width="1.5703125" style="11" customWidth="1"/>
    <col min="18" max="20" width="5.85546875" style="11" customWidth="1"/>
    <col min="21" max="21" width="1.5703125" style="11" customWidth="1"/>
    <col min="22" max="24" width="5.85546875" style="11" customWidth="1"/>
    <col min="25" max="25" width="1.5703125" style="11" customWidth="1"/>
    <col min="26" max="28" width="5.85546875" style="11" customWidth="1"/>
    <col min="29" max="29" width="1.5703125" style="11" customWidth="1"/>
    <col min="30" max="32" width="5.85546875" style="11" customWidth="1"/>
    <col min="33" max="33" width="1.5703125" style="11" customWidth="1"/>
    <col min="34" max="36" width="5.85546875" style="11" customWidth="1"/>
    <col min="37" max="37" width="1.5703125" style="11" customWidth="1"/>
    <col min="38" max="40" width="5.85546875" style="11" customWidth="1"/>
    <col min="41" max="41" width="1.5703125" style="11" customWidth="1"/>
    <col min="42" max="44" width="5.85546875" style="11" customWidth="1"/>
    <col min="45" max="45" width="1.42578125" style="11" customWidth="1"/>
    <col min="46" max="48" width="5.85546875" style="11" customWidth="1"/>
    <col min="49" max="49" width="1.42578125" style="11" customWidth="1"/>
    <col min="50" max="52" width="5.85546875" style="11" customWidth="1"/>
    <col min="53" max="53" width="1.42578125" style="11" customWidth="1"/>
    <col min="54" max="55" width="9.140625" style="11" customWidth="1"/>
    <col min="56" max="56" width="9.140625" style="11" bestFit="1" customWidth="1"/>
    <col min="57" max="57" width="19.7109375" style="11" bestFit="1" customWidth="1"/>
    <col min="58" max="76" width="8.7109375" customWidth="1"/>
    <col min="77" max="16384" width="8.85546875" style="11"/>
  </cols>
  <sheetData>
    <row r="1" spans="1:76" s="10" customFormat="1" ht="54" customHeight="1" x14ac:dyDescent="0.25">
      <c r="A1" s="13" t="s">
        <v>14</v>
      </c>
      <c r="B1" s="9" t="s">
        <v>132</v>
      </c>
      <c r="C1" s="13"/>
      <c r="D1" s="13"/>
      <c r="E1" s="13"/>
      <c r="F1" s="9" t="s">
        <v>133</v>
      </c>
      <c r="G1" s="13"/>
      <c r="H1" s="13"/>
      <c r="I1" s="13"/>
      <c r="J1" s="9" t="s">
        <v>134</v>
      </c>
      <c r="K1" s="13"/>
      <c r="L1" s="13"/>
      <c r="M1" s="13"/>
      <c r="N1" s="9" t="s">
        <v>135</v>
      </c>
      <c r="O1" s="13"/>
      <c r="P1" s="13"/>
      <c r="Q1" s="13"/>
      <c r="R1" s="9" t="s">
        <v>136</v>
      </c>
      <c r="S1" s="13"/>
      <c r="T1" s="13"/>
      <c r="U1" s="13"/>
      <c r="V1" s="9" t="s">
        <v>137</v>
      </c>
      <c r="W1" s="13"/>
      <c r="X1" s="13"/>
      <c r="Y1" s="13"/>
      <c r="Z1" s="9" t="s">
        <v>138</v>
      </c>
      <c r="AA1" s="13"/>
      <c r="AB1" s="13"/>
      <c r="AC1" s="13"/>
      <c r="AD1" s="9" t="s">
        <v>139</v>
      </c>
      <c r="AE1" s="13"/>
      <c r="AF1" s="13"/>
      <c r="AG1" s="13"/>
      <c r="AH1" s="9" t="s">
        <v>140</v>
      </c>
      <c r="AI1" s="13"/>
      <c r="AJ1" s="13"/>
      <c r="AK1" s="13"/>
      <c r="AL1" s="9" t="s">
        <v>141</v>
      </c>
      <c r="AP1" s="9" t="s">
        <v>142</v>
      </c>
      <c r="AT1" s="9" t="s">
        <v>143</v>
      </c>
      <c r="AX1" s="9" t="s">
        <v>144</v>
      </c>
      <c r="BB1" s="14" t="s">
        <v>99</v>
      </c>
      <c r="BC1" s="14" t="s">
        <v>12</v>
      </c>
      <c r="BD1" s="14" t="s">
        <v>11</v>
      </c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</row>
    <row r="2" spans="1:76" x14ac:dyDescent="0.25">
      <c r="A2" s="26"/>
      <c r="B2" s="26" t="s">
        <v>59</v>
      </c>
      <c r="C2" s="26" t="s">
        <v>60</v>
      </c>
      <c r="D2" s="26" t="s">
        <v>4</v>
      </c>
      <c r="E2" s="26"/>
      <c r="F2" s="26" t="s">
        <v>57</v>
      </c>
      <c r="G2" s="26" t="s">
        <v>58</v>
      </c>
      <c r="H2" s="26" t="s">
        <v>4</v>
      </c>
      <c r="I2" s="26"/>
      <c r="J2" s="26" t="s">
        <v>55</v>
      </c>
      <c r="K2" s="26" t="s">
        <v>56</v>
      </c>
      <c r="L2" s="26" t="s">
        <v>4</v>
      </c>
      <c r="M2" s="26"/>
      <c r="N2" s="26" t="s">
        <v>48</v>
      </c>
      <c r="O2" s="26" t="s">
        <v>49</v>
      </c>
      <c r="P2" s="26" t="s">
        <v>4</v>
      </c>
      <c r="Q2" s="26"/>
      <c r="R2" s="26" t="s">
        <v>46</v>
      </c>
      <c r="S2" s="26" t="s">
        <v>47</v>
      </c>
      <c r="T2" s="26" t="s">
        <v>4</v>
      </c>
      <c r="U2" s="26"/>
      <c r="V2" s="26" t="s">
        <v>44</v>
      </c>
      <c r="W2" s="26" t="s">
        <v>45</v>
      </c>
      <c r="X2" s="26" t="s">
        <v>4</v>
      </c>
      <c r="Y2" s="26"/>
      <c r="Z2" s="26" t="s">
        <v>28</v>
      </c>
      <c r="AA2" s="26" t="s">
        <v>29</v>
      </c>
      <c r="AB2" s="26" t="s">
        <v>4</v>
      </c>
      <c r="AC2" s="26"/>
      <c r="AD2" s="26" t="s">
        <v>24</v>
      </c>
      <c r="AE2" s="26" t="s">
        <v>25</v>
      </c>
      <c r="AF2" s="26" t="s">
        <v>4</v>
      </c>
      <c r="AG2" s="26"/>
      <c r="AH2" s="26" t="s">
        <v>21</v>
      </c>
      <c r="AI2" s="26" t="s">
        <v>22</v>
      </c>
      <c r="AJ2" s="26" t="s">
        <v>4</v>
      </c>
      <c r="AK2" s="26"/>
      <c r="AL2" s="1" t="s">
        <v>2</v>
      </c>
      <c r="AM2" s="1" t="s">
        <v>3</v>
      </c>
      <c r="AN2" s="1" t="s">
        <v>4</v>
      </c>
      <c r="AO2" s="1"/>
      <c r="AP2" s="1" t="s">
        <v>5</v>
      </c>
      <c r="AQ2" s="1" t="s">
        <v>6</v>
      </c>
      <c r="AR2" s="1" t="s">
        <v>4</v>
      </c>
      <c r="AS2" s="1"/>
      <c r="AT2" s="1" t="s">
        <v>7</v>
      </c>
      <c r="AU2" s="1" t="s">
        <v>8</v>
      </c>
      <c r="AV2" s="1" t="s">
        <v>4</v>
      </c>
      <c r="AW2" s="1"/>
      <c r="AX2" s="1" t="s">
        <v>9</v>
      </c>
      <c r="AY2" s="1" t="s">
        <v>10</v>
      </c>
      <c r="AZ2" s="1" t="s">
        <v>4</v>
      </c>
      <c r="BA2" s="1"/>
      <c r="BB2" s="2"/>
      <c r="BC2" s="2"/>
      <c r="BD2" s="3"/>
    </row>
    <row r="3" spans="1:76" ht="14.45" customHeight="1" x14ac:dyDescent="0.25">
      <c r="A3" s="66" t="s">
        <v>54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1"/>
      <c r="BB3" s="120"/>
      <c r="BC3" s="120"/>
      <c r="BD3" s="120"/>
    </row>
    <row r="4" spans="1:76" x14ac:dyDescent="0.25">
      <c r="A4" s="4" t="s">
        <v>0</v>
      </c>
      <c r="B4" s="5">
        <v>16.100000000000001</v>
      </c>
      <c r="C4" s="5">
        <v>13.9</v>
      </c>
      <c r="D4" s="5">
        <f>B4-C4</f>
        <v>2.2000000000000011</v>
      </c>
      <c r="E4"/>
      <c r="F4" s="15">
        <v>20.399999999999999</v>
      </c>
      <c r="G4" s="15">
        <v>11.1</v>
      </c>
      <c r="H4" s="15">
        <f>F4-G4</f>
        <v>9.2999999999999989</v>
      </c>
      <c r="I4" s="5"/>
      <c r="J4" s="16">
        <v>24.3</v>
      </c>
      <c r="K4" s="16">
        <v>9.6</v>
      </c>
      <c r="L4" s="16">
        <f>J4-K4</f>
        <v>14.700000000000001</v>
      </c>
      <c r="M4" s="5"/>
      <c r="N4" s="17">
        <v>24.9</v>
      </c>
      <c r="O4" s="17">
        <v>9.1</v>
      </c>
      <c r="P4" s="17">
        <f>N4-O4</f>
        <v>15.799999999999999</v>
      </c>
      <c r="Q4"/>
      <c r="R4" s="23">
        <v>9.9</v>
      </c>
      <c r="S4" s="23">
        <v>9.1</v>
      </c>
      <c r="T4" s="23">
        <f>R4-S4</f>
        <v>0.80000000000000071</v>
      </c>
      <c r="U4" s="22"/>
      <c r="V4" s="23">
        <v>-19.2</v>
      </c>
      <c r="W4" s="23">
        <v>9.1</v>
      </c>
      <c r="X4" s="23">
        <f>V4-W4</f>
        <v>-28.299999999999997</v>
      </c>
      <c r="Y4"/>
      <c r="Z4"/>
      <c r="AA4"/>
      <c r="AB4"/>
      <c r="AC4" s="4"/>
      <c r="AD4"/>
      <c r="AE4"/>
      <c r="AF4"/>
      <c r="AG4"/>
      <c r="AH4"/>
      <c r="AI4"/>
      <c r="AJ4"/>
      <c r="AK4"/>
      <c r="AL4"/>
      <c r="AM4"/>
      <c r="AN4"/>
      <c r="AP4" s="22"/>
      <c r="AQ4" s="23"/>
      <c r="AR4" s="23"/>
      <c r="AS4" s="5"/>
      <c r="AT4"/>
      <c r="AU4"/>
      <c r="AV4"/>
      <c r="AW4" s="5"/>
      <c r="AX4"/>
      <c r="AY4"/>
      <c r="AZ4"/>
      <c r="BA4" s="5"/>
      <c r="BB4" s="6">
        <f>AVERAGE(H4,L4,P4)</f>
        <v>13.266666666666666</v>
      </c>
      <c r="BC4" s="6">
        <f>AVERAGE(ABS(H4),ABS(L4),ABS(P4))</f>
        <v>13.266666666666666</v>
      </c>
      <c r="BD4" s="6">
        <f>SQRT((SUM((L4^2),(P4^2),(H4^2))/COUNT(L4,P4,H4)))</f>
        <v>13.567362799502833</v>
      </c>
      <c r="BE4" s="12" t="s">
        <v>13</v>
      </c>
    </row>
    <row r="5" spans="1:76" x14ac:dyDescent="0.25">
      <c r="A5" s="4" t="s">
        <v>15</v>
      </c>
      <c r="B5" s="5">
        <v>8.3000000000000007</v>
      </c>
      <c r="C5" s="5">
        <v>7.5</v>
      </c>
      <c r="D5" s="5">
        <f t="shared" ref="D5:D7" si="0">B5-C5</f>
        <v>0.80000000000000071</v>
      </c>
      <c r="E5"/>
      <c r="F5" s="15">
        <v>10.199999999999999</v>
      </c>
      <c r="G5" s="15">
        <v>6.7</v>
      </c>
      <c r="H5" s="15">
        <f t="shared" ref="H5:H7" si="1">F5-G5</f>
        <v>3.4999999999999991</v>
      </c>
      <c r="I5" s="5"/>
      <c r="J5" s="16">
        <v>11.9</v>
      </c>
      <c r="K5" s="16">
        <v>6.5</v>
      </c>
      <c r="L5" s="16">
        <f t="shared" ref="L5:L7" si="2">J5-K5</f>
        <v>5.4</v>
      </c>
      <c r="M5" s="5"/>
      <c r="N5" s="17">
        <v>10.3</v>
      </c>
      <c r="O5" s="17">
        <v>6.5</v>
      </c>
      <c r="P5" s="17">
        <f t="shared" ref="P5:P7" si="3">N5-O5</f>
        <v>3.8000000000000007</v>
      </c>
      <c r="Q5"/>
      <c r="R5" s="23">
        <v>-4.5999999999999996</v>
      </c>
      <c r="S5" s="23">
        <v>6.5</v>
      </c>
      <c r="T5" s="23">
        <f t="shared" ref="T5:T7" si="4">R5-S5</f>
        <v>-11.1</v>
      </c>
      <c r="U5" s="22"/>
      <c r="V5" s="23">
        <v>-18</v>
      </c>
      <c r="W5" s="23">
        <v>6.5</v>
      </c>
      <c r="X5" s="23">
        <f t="shared" ref="X5:X7" si="5">V5-W5</f>
        <v>-24.5</v>
      </c>
      <c r="Y5"/>
      <c r="Z5"/>
      <c r="AA5"/>
      <c r="AB5"/>
      <c r="AC5" s="4"/>
      <c r="AD5"/>
      <c r="AE5"/>
      <c r="AF5"/>
      <c r="AG5"/>
      <c r="AH5"/>
      <c r="AI5"/>
      <c r="AJ5"/>
      <c r="AK5"/>
      <c r="AL5"/>
      <c r="AM5"/>
      <c r="AN5"/>
      <c r="AP5" s="22"/>
      <c r="AQ5" s="23"/>
      <c r="AR5" s="23"/>
      <c r="AS5" s="5"/>
      <c r="AT5"/>
      <c r="AU5"/>
      <c r="AV5"/>
      <c r="AW5" s="5"/>
      <c r="AX5"/>
      <c r="AY5"/>
      <c r="AZ5"/>
      <c r="BA5" s="5"/>
      <c r="BB5" s="6">
        <f>AVERAGE(H5,L5,P5)</f>
        <v>4.2333333333333334</v>
      </c>
      <c r="BC5" s="6">
        <f t="shared" ref="BC5:BC7" si="6">AVERAGE(ABS(H5),ABS(L5),ABS(P5))</f>
        <v>4.2333333333333334</v>
      </c>
      <c r="BD5" s="6">
        <f>SQRT((SUM((L5^2),(P5^2),(H5^2))/COUNT(L5,P5,H5)))</f>
        <v>4.3147035433117145</v>
      </c>
      <c r="BE5" s="12" t="s">
        <v>13</v>
      </c>
    </row>
    <row r="6" spans="1:76" x14ac:dyDescent="0.25">
      <c r="A6" s="4" t="s">
        <v>1</v>
      </c>
      <c r="B6" s="5">
        <v>7.2</v>
      </c>
      <c r="C6" s="5">
        <v>6</v>
      </c>
      <c r="D6" s="5">
        <f t="shared" si="0"/>
        <v>1.2000000000000002</v>
      </c>
      <c r="E6"/>
      <c r="F6" s="15">
        <v>9.1999999999999993</v>
      </c>
      <c r="G6" s="15">
        <v>4.0999999999999996</v>
      </c>
      <c r="H6" s="15">
        <f t="shared" si="1"/>
        <v>5.0999999999999996</v>
      </c>
      <c r="I6" s="5"/>
      <c r="J6" s="16">
        <v>11.1</v>
      </c>
      <c r="K6" s="16">
        <v>2.9</v>
      </c>
      <c r="L6" s="16">
        <f t="shared" si="2"/>
        <v>8.1999999999999993</v>
      </c>
      <c r="M6" s="5"/>
      <c r="N6" s="17">
        <v>13.3</v>
      </c>
      <c r="O6" s="17">
        <v>2.5</v>
      </c>
      <c r="P6" s="17">
        <f t="shared" si="3"/>
        <v>10.8</v>
      </c>
      <c r="Q6"/>
      <c r="R6" s="23">
        <v>15.2</v>
      </c>
      <c r="S6" s="23">
        <v>2.5</v>
      </c>
      <c r="T6" s="23">
        <f t="shared" si="4"/>
        <v>12.7</v>
      </c>
      <c r="U6" s="22"/>
      <c r="V6" s="23">
        <v>-1.5</v>
      </c>
      <c r="W6" s="23">
        <v>2.5</v>
      </c>
      <c r="X6" s="23">
        <f t="shared" si="5"/>
        <v>-4</v>
      </c>
      <c r="Y6"/>
      <c r="Z6"/>
      <c r="AA6"/>
      <c r="AB6"/>
      <c r="AC6" s="4"/>
      <c r="AD6"/>
      <c r="AE6"/>
      <c r="AF6"/>
      <c r="AG6"/>
      <c r="AH6"/>
      <c r="AI6"/>
      <c r="AJ6"/>
      <c r="AK6"/>
      <c r="AL6"/>
      <c r="AM6"/>
      <c r="AN6"/>
      <c r="AP6" s="22"/>
      <c r="AQ6" s="23"/>
      <c r="AR6" s="23"/>
      <c r="AS6" s="5"/>
      <c r="AT6"/>
      <c r="AU6"/>
      <c r="AV6"/>
      <c r="AW6" s="5"/>
      <c r="AX6"/>
      <c r="AY6"/>
      <c r="AZ6"/>
      <c r="BA6" s="5"/>
      <c r="BB6" s="6">
        <f>AVERAGE(H6,L6,P6)</f>
        <v>8.0333333333333332</v>
      </c>
      <c r="BC6" s="6">
        <f t="shared" si="6"/>
        <v>8.0333333333333332</v>
      </c>
      <c r="BD6" s="6">
        <f>SQRT((SUM((L6^2),(P6^2),(H6^2))/COUNT(L6,P6,H6)))</f>
        <v>8.3644087258654043</v>
      </c>
      <c r="BE6" s="12" t="s">
        <v>13</v>
      </c>
    </row>
    <row r="7" spans="1:76" x14ac:dyDescent="0.25">
      <c r="A7" s="4" t="s">
        <v>16</v>
      </c>
      <c r="B7" s="5">
        <v>6.2</v>
      </c>
      <c r="C7" s="5">
        <v>6.3</v>
      </c>
      <c r="D7" s="5">
        <f t="shared" si="0"/>
        <v>-9.9999999999999645E-2</v>
      </c>
      <c r="E7"/>
      <c r="F7" s="15">
        <v>6.7</v>
      </c>
      <c r="G7" s="15">
        <v>4.3</v>
      </c>
      <c r="H7" s="15">
        <f t="shared" si="1"/>
        <v>2.4000000000000004</v>
      </c>
      <c r="I7" s="5"/>
      <c r="J7" s="16">
        <v>6.5</v>
      </c>
      <c r="K7" s="16">
        <v>3.2</v>
      </c>
      <c r="L7" s="16">
        <f t="shared" si="2"/>
        <v>3.3</v>
      </c>
      <c r="M7" s="5"/>
      <c r="N7" s="17">
        <v>10.1</v>
      </c>
      <c r="O7" s="17">
        <v>3</v>
      </c>
      <c r="P7" s="17">
        <f t="shared" si="3"/>
        <v>7.1</v>
      </c>
      <c r="Q7"/>
      <c r="R7" s="23">
        <v>15.4</v>
      </c>
      <c r="S7" s="22">
        <v>2.9</v>
      </c>
      <c r="T7" s="23">
        <f t="shared" si="4"/>
        <v>12.5</v>
      </c>
      <c r="U7" s="22"/>
      <c r="V7" s="23">
        <v>3.5</v>
      </c>
      <c r="W7" s="23">
        <v>2.8</v>
      </c>
      <c r="X7" s="23">
        <f t="shared" si="5"/>
        <v>0.70000000000000018</v>
      </c>
      <c r="Y7"/>
      <c r="Z7"/>
      <c r="AA7"/>
      <c r="AB7"/>
      <c r="AC7" s="4"/>
      <c r="AD7"/>
      <c r="AE7"/>
      <c r="AF7"/>
      <c r="AG7"/>
      <c r="AH7"/>
      <c r="AI7"/>
      <c r="AJ7"/>
      <c r="AK7"/>
      <c r="AL7"/>
      <c r="AM7"/>
      <c r="AN7"/>
      <c r="AP7" s="22"/>
      <c r="AQ7" s="22"/>
      <c r="AR7" s="23"/>
      <c r="AS7" s="5"/>
      <c r="AT7"/>
      <c r="AU7"/>
      <c r="AV7"/>
      <c r="AW7" s="5"/>
      <c r="AX7"/>
      <c r="AY7"/>
      <c r="AZ7"/>
      <c r="BA7" s="5"/>
      <c r="BB7" s="6">
        <f>AVERAGE(H7,L7,P7)</f>
        <v>4.2666666666666666</v>
      </c>
      <c r="BC7" s="6">
        <f t="shared" si="6"/>
        <v>4.2666666666666666</v>
      </c>
      <c r="BD7" s="6">
        <f>SQRT((SUM((L7^2),(P7^2),(H7^2))/COUNT(L7,P7,H7)))</f>
        <v>4.7279311895725948</v>
      </c>
      <c r="BE7" s="12" t="s">
        <v>13</v>
      </c>
    </row>
    <row r="8" spans="1:76" ht="14.45" customHeight="1" x14ac:dyDescent="0.25">
      <c r="A8" s="66" t="s">
        <v>53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1"/>
      <c r="BB8" s="120"/>
      <c r="BC8" s="120"/>
      <c r="BD8" s="120"/>
    </row>
    <row r="9" spans="1:76" x14ac:dyDescent="0.25">
      <c r="A9" s="4" t="s">
        <v>0</v>
      </c>
      <c r="B9" s="5"/>
      <c r="C9" s="5"/>
      <c r="D9" s="5"/>
      <c r="E9" s="4"/>
      <c r="F9" s="5">
        <v>20.399999999999999</v>
      </c>
      <c r="G9" s="5">
        <v>14.6</v>
      </c>
      <c r="H9" s="5">
        <f>F9-G9</f>
        <v>5.7999999999999989</v>
      </c>
      <c r="I9"/>
      <c r="J9" s="15">
        <v>24.3</v>
      </c>
      <c r="K9" s="15">
        <v>12.3</v>
      </c>
      <c r="L9" s="15">
        <f>J9-K9</f>
        <v>12</v>
      </c>
      <c r="M9" s="5"/>
      <c r="N9" s="16">
        <v>24.9</v>
      </c>
      <c r="O9" s="16">
        <v>10.5</v>
      </c>
      <c r="P9" s="16">
        <f>N9-O9</f>
        <v>14.399999999999999</v>
      </c>
      <c r="Q9" s="5"/>
      <c r="R9" s="17">
        <v>9.9</v>
      </c>
      <c r="S9" s="17">
        <v>10.1</v>
      </c>
      <c r="T9" s="17">
        <f>R9-S9</f>
        <v>-0.19999999999999929</v>
      </c>
      <c r="U9"/>
      <c r="V9" s="23">
        <v>-19.2</v>
      </c>
      <c r="W9" s="23">
        <v>9.8000000000000007</v>
      </c>
      <c r="X9" s="23">
        <f>V9-W9</f>
        <v>-29</v>
      </c>
      <c r="Y9" s="22"/>
      <c r="Z9" s="23">
        <v>-19.2</v>
      </c>
      <c r="AA9" s="23">
        <v>9.6999999999999993</v>
      </c>
      <c r="AB9" s="22">
        <f>Z9-AA9</f>
        <v>-28.9</v>
      </c>
      <c r="AC9"/>
      <c r="AD9"/>
      <c r="AE9"/>
      <c r="AF9"/>
      <c r="AG9" s="4"/>
      <c r="AH9"/>
      <c r="AI9"/>
      <c r="AJ9"/>
      <c r="AK9"/>
      <c r="AL9"/>
      <c r="AM9"/>
      <c r="AN9"/>
      <c r="AO9"/>
      <c r="AP9"/>
      <c r="AQ9"/>
      <c r="AR9"/>
      <c r="AS9" s="5"/>
      <c r="AT9"/>
      <c r="AU9"/>
      <c r="AV9"/>
      <c r="AW9" s="5"/>
      <c r="AX9"/>
      <c r="AY9"/>
      <c r="AZ9"/>
      <c r="BA9" s="5"/>
      <c r="BB9" s="6">
        <f>AVERAGE(T9,L9,P9)</f>
        <v>8.7333333333333325</v>
      </c>
      <c r="BC9" s="6">
        <f>AVERAGE(ABS(T9),ABS(L9),ABS(P9))</f>
        <v>8.8666666666666654</v>
      </c>
      <c r="BD9" s="6">
        <f>SQRT((SUM((L9^2),(P9^2),(T9^2))/COUNT(L9,P9,T9)))</f>
        <v>10.822815406969358</v>
      </c>
      <c r="BE9" s="12" t="s">
        <v>13</v>
      </c>
    </row>
    <row r="10" spans="1:76" x14ac:dyDescent="0.25">
      <c r="A10" s="4" t="s">
        <v>15</v>
      </c>
      <c r="B10" s="5"/>
      <c r="C10" s="5"/>
      <c r="D10" s="5"/>
      <c r="E10" s="4"/>
      <c r="F10" s="5">
        <v>10.199999999999999</v>
      </c>
      <c r="G10" s="5">
        <v>7.5</v>
      </c>
      <c r="H10" s="5">
        <f t="shared" ref="H10:H12" si="7">F10-G10</f>
        <v>2.6999999999999993</v>
      </c>
      <c r="I10"/>
      <c r="J10" s="15">
        <v>11.9</v>
      </c>
      <c r="K10" s="15">
        <v>7.5</v>
      </c>
      <c r="L10" s="15">
        <f t="shared" ref="L10:L12" si="8">J10-K10</f>
        <v>4.4000000000000004</v>
      </c>
      <c r="M10" s="5"/>
      <c r="N10" s="16">
        <v>10.3</v>
      </c>
      <c r="O10" s="16">
        <v>7</v>
      </c>
      <c r="P10" s="16">
        <f t="shared" ref="P10:P12" si="9">N10-O10</f>
        <v>3.3000000000000007</v>
      </c>
      <c r="Q10" s="5"/>
      <c r="R10" s="17">
        <v>-4.5999999999999996</v>
      </c>
      <c r="S10" s="17">
        <v>7</v>
      </c>
      <c r="T10" s="17">
        <f t="shared" ref="T10:T12" si="10">R10-S10</f>
        <v>-11.6</v>
      </c>
      <c r="U10"/>
      <c r="V10" s="23">
        <v>-18</v>
      </c>
      <c r="W10" s="23">
        <v>7</v>
      </c>
      <c r="X10" s="23">
        <f t="shared" ref="X10:X12" si="11">V10-W10</f>
        <v>-25</v>
      </c>
      <c r="Y10" s="22"/>
      <c r="Z10" s="23">
        <v>-18</v>
      </c>
      <c r="AA10" s="23">
        <v>7</v>
      </c>
      <c r="AB10" s="22">
        <f t="shared" ref="AB10:AB12" si="12">Z10-AA10</f>
        <v>-25</v>
      </c>
      <c r="AC10"/>
      <c r="AD10"/>
      <c r="AE10"/>
      <c r="AF10"/>
      <c r="AG10" s="4"/>
      <c r="AH10"/>
      <c r="AI10"/>
      <c r="AJ10"/>
      <c r="AK10"/>
      <c r="AL10"/>
      <c r="AM10"/>
      <c r="AN10"/>
      <c r="AO10"/>
      <c r="AP10"/>
      <c r="AQ10"/>
      <c r="AR10"/>
      <c r="AS10" s="5"/>
      <c r="AT10"/>
      <c r="AU10"/>
      <c r="AV10"/>
      <c r="AW10" s="5"/>
      <c r="AX10"/>
      <c r="AY10"/>
      <c r="AZ10"/>
      <c r="BA10" s="5"/>
      <c r="BB10" s="6">
        <f>AVERAGE(T10,L10,P10)</f>
        <v>-1.2999999999999996</v>
      </c>
      <c r="BC10" s="6">
        <f t="shared" ref="BC10:BC12" si="13">AVERAGE(ABS(T10),ABS(L10),ABS(P10))</f>
        <v>6.4333333333333336</v>
      </c>
      <c r="BD10" s="6">
        <f>SQRT((SUM((L10^2),(P10^2),(T10^2))/COUNT(L10,P10,T10)))</f>
        <v>7.4119273247021704</v>
      </c>
      <c r="BE10" s="12" t="s">
        <v>152</v>
      </c>
    </row>
    <row r="11" spans="1:76" x14ac:dyDescent="0.25">
      <c r="A11" s="4" t="s">
        <v>26</v>
      </c>
      <c r="B11" s="5"/>
      <c r="C11" s="5"/>
      <c r="D11" s="5"/>
      <c r="E11" s="4"/>
      <c r="F11" s="5">
        <v>9.1999999999999993</v>
      </c>
      <c r="G11" s="5">
        <v>6.6</v>
      </c>
      <c r="H11" s="5">
        <f t="shared" si="7"/>
        <v>2.5999999999999996</v>
      </c>
      <c r="I11"/>
      <c r="J11" s="15">
        <v>11.1</v>
      </c>
      <c r="K11" s="15">
        <v>4.5</v>
      </c>
      <c r="L11" s="15">
        <f t="shared" si="8"/>
        <v>6.6</v>
      </c>
      <c r="M11" s="5"/>
      <c r="N11" s="16">
        <v>13.3</v>
      </c>
      <c r="O11" s="16">
        <v>3.3</v>
      </c>
      <c r="P11" s="16">
        <f t="shared" si="9"/>
        <v>10</v>
      </c>
      <c r="Q11" s="5"/>
      <c r="R11" s="17">
        <v>15.2</v>
      </c>
      <c r="S11" s="17">
        <v>2.9</v>
      </c>
      <c r="T11" s="17">
        <f t="shared" si="10"/>
        <v>12.299999999999999</v>
      </c>
      <c r="U11"/>
      <c r="V11" s="23">
        <v>-1.5</v>
      </c>
      <c r="W11" s="23">
        <v>2.7</v>
      </c>
      <c r="X11" s="23">
        <f t="shared" si="11"/>
        <v>-4.2</v>
      </c>
      <c r="Y11" s="22"/>
      <c r="Z11" s="23">
        <v>-1.5</v>
      </c>
      <c r="AA11" s="23">
        <v>2.6</v>
      </c>
      <c r="AB11" s="22">
        <f t="shared" si="12"/>
        <v>-4.0999999999999996</v>
      </c>
      <c r="AC11"/>
      <c r="AD11"/>
      <c r="AE11"/>
      <c r="AF11"/>
      <c r="AG11" s="4"/>
      <c r="AH11"/>
      <c r="AI11"/>
      <c r="AJ11"/>
      <c r="AK11"/>
      <c r="AL11"/>
      <c r="AM11"/>
      <c r="AN11"/>
      <c r="AO11"/>
      <c r="AP11"/>
      <c r="AQ11"/>
      <c r="AR11"/>
      <c r="AS11" s="5"/>
      <c r="AT11"/>
      <c r="AU11"/>
      <c r="AV11"/>
      <c r="AW11" s="5"/>
      <c r="AX11"/>
      <c r="AY11"/>
      <c r="AZ11"/>
      <c r="BA11" s="5"/>
      <c r="BB11" s="6">
        <f>AVERAGE(T11,L11,P11)</f>
        <v>9.6333333333333329</v>
      </c>
      <c r="BC11" s="6">
        <f t="shared" si="13"/>
        <v>9.6333333333333329</v>
      </c>
      <c r="BD11" s="6">
        <f>SQRT((SUM((L11^2),(P11^2),(T11^2))/COUNT(L11,P11,T11)))</f>
        <v>9.9137951024485726</v>
      </c>
      <c r="BE11" s="12" t="s">
        <v>13</v>
      </c>
    </row>
    <row r="12" spans="1:76" customFormat="1" x14ac:dyDescent="0.25">
      <c r="A12" s="4" t="s">
        <v>16</v>
      </c>
      <c r="B12" s="5"/>
      <c r="C12" s="5"/>
      <c r="D12" s="5"/>
      <c r="E12" s="4"/>
      <c r="F12" s="5">
        <v>6.7</v>
      </c>
      <c r="G12" s="5">
        <v>6.4</v>
      </c>
      <c r="H12" s="5">
        <f t="shared" si="7"/>
        <v>0.29999999999999982</v>
      </c>
      <c r="J12" s="15">
        <v>6.5</v>
      </c>
      <c r="K12" s="15">
        <v>4.5</v>
      </c>
      <c r="L12" s="15">
        <f t="shared" si="8"/>
        <v>2</v>
      </c>
      <c r="M12" s="5"/>
      <c r="N12" s="16">
        <v>10.1</v>
      </c>
      <c r="O12" s="16">
        <v>2.8</v>
      </c>
      <c r="P12" s="16">
        <f t="shared" si="9"/>
        <v>7.3</v>
      </c>
      <c r="Q12" s="5"/>
      <c r="R12" s="17">
        <v>15.4</v>
      </c>
      <c r="S12" s="17">
        <v>2.5</v>
      </c>
      <c r="T12" s="17">
        <f t="shared" si="10"/>
        <v>12.9</v>
      </c>
      <c r="V12" s="23">
        <v>3.5</v>
      </c>
      <c r="W12" s="22">
        <v>2.5</v>
      </c>
      <c r="X12" s="23">
        <f t="shared" si="11"/>
        <v>1</v>
      </c>
      <c r="Y12" s="22"/>
      <c r="Z12" s="23">
        <v>3.5</v>
      </c>
      <c r="AA12" s="23">
        <v>2.5</v>
      </c>
      <c r="AB12" s="22">
        <f t="shared" si="12"/>
        <v>1</v>
      </c>
      <c r="AG12" s="4"/>
      <c r="AS12" s="5"/>
      <c r="AW12" s="5"/>
      <c r="BA12" s="5"/>
      <c r="BB12" s="6">
        <f>AVERAGE(T12,L12,P12)</f>
        <v>7.3999999999999995</v>
      </c>
      <c r="BC12" s="6">
        <f t="shared" si="13"/>
        <v>7.3999999999999995</v>
      </c>
      <c r="BD12" s="6">
        <f>SQRT((SUM((L12^2),(P12^2),(T12^2))/COUNT(L12,P12,T12)))</f>
        <v>8.6351992835525611</v>
      </c>
      <c r="BE12" s="12" t="s">
        <v>13</v>
      </c>
    </row>
    <row r="13" spans="1:76" ht="14.45" customHeight="1" x14ac:dyDescent="0.25">
      <c r="A13" s="66" t="s">
        <v>43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1"/>
      <c r="BB13" s="120"/>
      <c r="BC13" s="120"/>
      <c r="BD13" s="120"/>
    </row>
    <row r="14" spans="1:76" x14ac:dyDescent="0.25">
      <c r="A14" s="4" t="s">
        <v>0</v>
      </c>
      <c r="B14"/>
      <c r="C14"/>
      <c r="D14"/>
      <c r="E14"/>
      <c r="F14"/>
      <c r="G14"/>
      <c r="H14"/>
      <c r="I14"/>
      <c r="J14" s="5">
        <v>24.3</v>
      </c>
      <c r="K14" s="5">
        <v>21.4</v>
      </c>
      <c r="L14" s="5">
        <f>J14-K14</f>
        <v>2.9000000000000021</v>
      </c>
      <c r="N14" s="15">
        <v>24.9</v>
      </c>
      <c r="O14" s="15">
        <v>17.100000000000001</v>
      </c>
      <c r="P14" s="15">
        <f>N14-O14</f>
        <v>7.7999999999999972</v>
      </c>
      <c r="Q14" s="5"/>
      <c r="R14" s="16">
        <v>9.9</v>
      </c>
      <c r="S14" s="16">
        <v>14</v>
      </c>
      <c r="T14" s="16">
        <f>R14-S14</f>
        <v>-4.0999999999999996</v>
      </c>
      <c r="U14" s="5"/>
      <c r="V14" s="17">
        <v>-19.2</v>
      </c>
      <c r="W14" s="17">
        <v>12.3</v>
      </c>
      <c r="X14" s="17">
        <f>V14-W14</f>
        <v>-31.5</v>
      </c>
      <c r="Z14"/>
      <c r="AA14"/>
      <c r="AB14"/>
      <c r="AC14"/>
      <c r="AD14"/>
      <c r="AE14"/>
      <c r="AF14"/>
      <c r="AG14"/>
      <c r="AH14"/>
      <c r="AI14"/>
      <c r="AJ14"/>
      <c r="AQ14" s="19"/>
      <c r="AR14" s="19"/>
      <c r="AS14" s="5"/>
      <c r="AT14"/>
      <c r="AU14"/>
      <c r="AV14"/>
      <c r="AW14" s="5"/>
      <c r="AX14"/>
      <c r="AY14"/>
      <c r="AZ14"/>
      <c r="BA14" s="5"/>
      <c r="BB14" s="6">
        <f>AVERAGE(T14,X14,P14)</f>
        <v>-9.2666666666666675</v>
      </c>
      <c r="BC14" s="6">
        <f>AVERAGE(ABS(T14),ABS(X14),ABS(P14))</f>
        <v>14.466666666666667</v>
      </c>
      <c r="BD14" s="6">
        <f>SQRT((SUM((X14^2),(P14^2),(T14^2))/COUNT(X14,P14,T14)))</f>
        <v>18.884738106029779</v>
      </c>
      <c r="BE14" s="12" t="s">
        <v>152</v>
      </c>
    </row>
    <row r="15" spans="1:76" x14ac:dyDescent="0.25">
      <c r="A15" s="4" t="s">
        <v>15</v>
      </c>
      <c r="B15"/>
      <c r="C15"/>
      <c r="D15"/>
      <c r="E15"/>
      <c r="F15"/>
      <c r="G15"/>
      <c r="H15"/>
      <c r="I15"/>
      <c r="J15" s="5">
        <v>11.9</v>
      </c>
      <c r="K15" s="5">
        <v>11</v>
      </c>
      <c r="L15" s="5">
        <f t="shared" ref="L15:L17" si="14">J15-K15</f>
        <v>0.90000000000000036</v>
      </c>
      <c r="N15" s="15">
        <v>10.3</v>
      </c>
      <c r="O15" s="15">
        <v>9</v>
      </c>
      <c r="P15" s="15">
        <f t="shared" ref="P15:P17" si="15">N15-O15</f>
        <v>1.3000000000000007</v>
      </c>
      <c r="Q15" s="5"/>
      <c r="R15" s="16">
        <v>-4.5999999999999996</v>
      </c>
      <c r="S15" s="16">
        <v>7.5</v>
      </c>
      <c r="T15" s="16">
        <f t="shared" ref="T15:T17" si="16">R15-S15</f>
        <v>-12.1</v>
      </c>
      <c r="U15" s="5"/>
      <c r="V15" s="17">
        <v>-18</v>
      </c>
      <c r="W15" s="17">
        <v>7.5</v>
      </c>
      <c r="X15" s="17">
        <f t="shared" ref="X15:X17" si="17">V15-W15</f>
        <v>-25.5</v>
      </c>
      <c r="Z15"/>
      <c r="AA15"/>
      <c r="AB15"/>
      <c r="AC15"/>
      <c r="AD15"/>
      <c r="AE15"/>
      <c r="AF15"/>
      <c r="AG15"/>
      <c r="AH15"/>
      <c r="AI15"/>
      <c r="AJ15"/>
      <c r="AQ15" s="19"/>
      <c r="AR15" s="19"/>
      <c r="AS15" s="5"/>
      <c r="AT15"/>
      <c r="AU15"/>
      <c r="AV15"/>
      <c r="AW15" s="5"/>
      <c r="AX15"/>
      <c r="AY15"/>
      <c r="AZ15"/>
      <c r="BA15" s="5"/>
      <c r="BB15" s="6">
        <f>AVERAGE(T15,X15,P15)</f>
        <v>-12.1</v>
      </c>
      <c r="BC15" s="6">
        <f t="shared" ref="BC15:BC17" si="18">AVERAGE(ABS(T15),ABS(X15),ABS(P15))</f>
        <v>12.966666666666669</v>
      </c>
      <c r="BD15" s="6">
        <f>SQRT((SUM((X15^2),(P15^2),(T15^2))/COUNT(X15,P15,T15)))</f>
        <v>16.313082684356953</v>
      </c>
      <c r="BE15" s="12" t="s">
        <v>152</v>
      </c>
    </row>
    <row r="16" spans="1:76" x14ac:dyDescent="0.25">
      <c r="A16" s="4" t="s">
        <v>1</v>
      </c>
      <c r="B16"/>
      <c r="C16"/>
      <c r="D16"/>
      <c r="E16"/>
      <c r="F16"/>
      <c r="G16"/>
      <c r="H16"/>
      <c r="I16"/>
      <c r="J16" s="5">
        <v>11.1</v>
      </c>
      <c r="K16" s="5">
        <v>9.4</v>
      </c>
      <c r="L16" s="5">
        <f t="shared" si="14"/>
        <v>1.6999999999999993</v>
      </c>
      <c r="N16" s="15">
        <v>13.3</v>
      </c>
      <c r="O16" s="15">
        <v>7.4</v>
      </c>
      <c r="P16" s="15">
        <f t="shared" si="15"/>
        <v>5.9</v>
      </c>
      <c r="Q16" s="5"/>
      <c r="R16" s="16">
        <v>15.2</v>
      </c>
      <c r="S16" s="16">
        <v>6</v>
      </c>
      <c r="T16" s="16">
        <f t="shared" si="16"/>
        <v>9.1999999999999993</v>
      </c>
      <c r="U16" s="5"/>
      <c r="V16" s="17">
        <v>-1.5</v>
      </c>
      <c r="W16" s="17">
        <v>4.5</v>
      </c>
      <c r="X16" s="17">
        <f t="shared" si="17"/>
        <v>-6</v>
      </c>
      <c r="Z16"/>
      <c r="AA16"/>
      <c r="AB16"/>
      <c r="AC16"/>
      <c r="AD16"/>
      <c r="AE16"/>
      <c r="AF16"/>
      <c r="AG16"/>
      <c r="AH16"/>
      <c r="AI16"/>
      <c r="AJ16"/>
      <c r="AQ16" s="19"/>
      <c r="AR16" s="19"/>
      <c r="AS16" s="5"/>
      <c r="AT16"/>
      <c r="AU16"/>
      <c r="AV16"/>
      <c r="AW16" s="5"/>
      <c r="AX16"/>
      <c r="AY16"/>
      <c r="AZ16"/>
      <c r="BA16" s="5"/>
      <c r="BB16" s="6">
        <f>AVERAGE(T16,X16,P16)</f>
        <v>3.0333333333333332</v>
      </c>
      <c r="BC16" s="6">
        <f t="shared" si="18"/>
        <v>7.0333333333333341</v>
      </c>
      <c r="BD16" s="6">
        <f>SQRT((SUM((X16^2),(P16^2),(T16^2))/COUNT(X16,P16,T16)))</f>
        <v>7.1983794472552409</v>
      </c>
      <c r="BE16" s="12" t="s">
        <v>13</v>
      </c>
    </row>
    <row r="17" spans="1:57" x14ac:dyDescent="0.25">
      <c r="A17" s="4" t="s">
        <v>16</v>
      </c>
      <c r="B17"/>
      <c r="C17"/>
      <c r="D17"/>
      <c r="E17"/>
      <c r="F17"/>
      <c r="G17"/>
      <c r="H17"/>
      <c r="I17"/>
      <c r="J17" s="5">
        <v>6.5</v>
      </c>
      <c r="K17" s="5">
        <v>6.5</v>
      </c>
      <c r="L17" s="5">
        <f t="shared" si="14"/>
        <v>0</v>
      </c>
      <c r="N17" s="15">
        <v>10.1</v>
      </c>
      <c r="O17" s="15">
        <v>5.9</v>
      </c>
      <c r="P17" s="15">
        <f t="shared" si="15"/>
        <v>4.1999999999999993</v>
      </c>
      <c r="Q17" s="5"/>
      <c r="R17" s="16">
        <v>15.4</v>
      </c>
      <c r="S17" s="16">
        <v>4.8</v>
      </c>
      <c r="T17" s="16">
        <f t="shared" si="16"/>
        <v>10.600000000000001</v>
      </c>
      <c r="U17" s="5"/>
      <c r="V17" s="17">
        <v>3.5</v>
      </c>
      <c r="W17" s="17">
        <v>3.8</v>
      </c>
      <c r="X17" s="17">
        <f t="shared" si="17"/>
        <v>-0.29999999999999982</v>
      </c>
      <c r="Z17"/>
      <c r="AA17"/>
      <c r="AB17"/>
      <c r="AC17"/>
      <c r="AD17"/>
      <c r="AE17"/>
      <c r="AF17"/>
      <c r="AG17"/>
      <c r="AH17"/>
      <c r="AI17"/>
      <c r="AJ17"/>
      <c r="AR17" s="19"/>
      <c r="AS17" s="5"/>
      <c r="AT17"/>
      <c r="AU17"/>
      <c r="AV17"/>
      <c r="AW17" s="5"/>
      <c r="AX17"/>
      <c r="AY17"/>
      <c r="AZ17"/>
      <c r="BA17" s="5"/>
      <c r="BB17" s="6">
        <f>AVERAGE(T17,X17,P17)</f>
        <v>4.833333333333333</v>
      </c>
      <c r="BC17" s="6">
        <f t="shared" si="18"/>
        <v>5.0333333333333341</v>
      </c>
      <c r="BD17" s="6">
        <f>SQRT((SUM((X17^2),(P17^2),(T17^2))/COUNT(X17,P17,T17)))</f>
        <v>6.58508415537215</v>
      </c>
      <c r="BE17" s="12" t="s">
        <v>13</v>
      </c>
    </row>
    <row r="18" spans="1:57" ht="14.45" customHeight="1" x14ac:dyDescent="0.25">
      <c r="A18" s="66" t="s">
        <v>42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1"/>
      <c r="BB18" s="120"/>
      <c r="BC18" s="120"/>
      <c r="BD18" s="120"/>
    </row>
    <row r="19" spans="1:57" x14ac:dyDescent="0.25">
      <c r="A19" s="4" t="s">
        <v>0</v>
      </c>
      <c r="B19"/>
      <c r="C19"/>
      <c r="D19"/>
      <c r="E19"/>
      <c r="F19"/>
      <c r="G19"/>
      <c r="H19"/>
      <c r="I19"/>
      <c r="J19"/>
      <c r="K19"/>
      <c r="L19"/>
      <c r="M19" s="5"/>
      <c r="N19" s="5">
        <v>24.9</v>
      </c>
      <c r="O19" s="5">
        <v>20.9</v>
      </c>
      <c r="P19" s="5">
        <f>N19-O19</f>
        <v>4</v>
      </c>
      <c r="Q19" s="4"/>
      <c r="R19" s="15">
        <v>9.9</v>
      </c>
      <c r="S19" s="15">
        <v>15.9</v>
      </c>
      <c r="T19" s="15">
        <f>R19-S19</f>
        <v>-6</v>
      </c>
      <c r="U19" s="5"/>
      <c r="V19" s="16">
        <v>-19.2</v>
      </c>
      <c r="W19" s="16">
        <v>13.9</v>
      </c>
      <c r="X19" s="16">
        <f>V19-W19</f>
        <v>-33.1</v>
      </c>
      <c r="Y19" s="5"/>
      <c r="Z19" s="17">
        <v>-2.5</v>
      </c>
      <c r="AA19" s="17">
        <v>12.6</v>
      </c>
      <c r="AB19" s="17">
        <f>Z19-AA19</f>
        <v>-15.1</v>
      </c>
      <c r="AC19" s="4"/>
      <c r="AD19"/>
      <c r="AE19"/>
      <c r="AF19"/>
      <c r="AG19"/>
      <c r="AH19"/>
      <c r="AI19"/>
      <c r="AJ19"/>
      <c r="AK19"/>
      <c r="AL19"/>
      <c r="AM19"/>
      <c r="AN19"/>
      <c r="AP19" s="22"/>
      <c r="AQ19" s="23"/>
      <c r="AR19" s="23"/>
      <c r="AS19" s="5"/>
      <c r="AT19"/>
      <c r="AU19"/>
      <c r="AV19"/>
      <c r="AW19" s="5"/>
      <c r="AX19"/>
      <c r="AY19"/>
      <c r="AZ19"/>
      <c r="BA19" s="5"/>
      <c r="BB19" s="6">
        <f>AVERAGE(T19,X19,AB19)</f>
        <v>-18.066666666666666</v>
      </c>
      <c r="BC19" s="6">
        <f>AVERAGE(ABS(T19),ABS(X19),ABS(AB19))</f>
        <v>18.066666666666666</v>
      </c>
      <c r="BD19" s="6">
        <f>SQRT((SUM((X19^2),(AB19^2),(T19^2))/COUNT(X19,AB19,T19)))</f>
        <v>21.288651123701253</v>
      </c>
      <c r="BE19" s="12" t="s">
        <v>152</v>
      </c>
    </row>
    <row r="20" spans="1:57" x14ac:dyDescent="0.25">
      <c r="A20" s="4" t="s">
        <v>15</v>
      </c>
      <c r="B20"/>
      <c r="C20"/>
      <c r="D20"/>
      <c r="E20"/>
      <c r="F20"/>
      <c r="G20"/>
      <c r="H20"/>
      <c r="I20"/>
      <c r="J20"/>
      <c r="K20"/>
      <c r="L20"/>
      <c r="M20" s="5"/>
      <c r="N20" s="5">
        <v>10.3</v>
      </c>
      <c r="O20" s="5">
        <v>9.5</v>
      </c>
      <c r="P20" s="5">
        <f t="shared" ref="P20:P22" si="19">N20-O20</f>
        <v>0.80000000000000071</v>
      </c>
      <c r="Q20" s="4"/>
      <c r="R20" s="15">
        <v>-4.5999999999999996</v>
      </c>
      <c r="S20" s="15">
        <v>7.5</v>
      </c>
      <c r="T20" s="15">
        <f t="shared" ref="T20:T22" si="20">R20-S20</f>
        <v>-12.1</v>
      </c>
      <c r="U20" s="5"/>
      <c r="V20" s="16">
        <v>-18</v>
      </c>
      <c r="W20" s="16">
        <v>7.5</v>
      </c>
      <c r="X20" s="16">
        <f t="shared" ref="X20:X22" si="21">V20-W20</f>
        <v>-25.5</v>
      </c>
      <c r="Y20" s="5"/>
      <c r="Z20" s="17">
        <v>-0.3</v>
      </c>
      <c r="AA20" s="17">
        <v>7.3</v>
      </c>
      <c r="AB20" s="17">
        <f t="shared" ref="AB20:AB22" si="22">Z20-AA20</f>
        <v>-7.6</v>
      </c>
      <c r="AC20" s="4"/>
      <c r="AD20"/>
      <c r="AE20"/>
      <c r="AF20"/>
      <c r="AG20"/>
      <c r="AH20"/>
      <c r="AI20"/>
      <c r="AJ20"/>
      <c r="AK20"/>
      <c r="AL20"/>
      <c r="AM20"/>
      <c r="AN20"/>
      <c r="AP20" s="22"/>
      <c r="AQ20" s="23"/>
      <c r="AR20" s="23"/>
      <c r="AS20" s="5"/>
      <c r="AT20"/>
      <c r="AU20"/>
      <c r="AV20"/>
      <c r="AW20" s="5"/>
      <c r="AX20"/>
      <c r="AY20"/>
      <c r="AZ20"/>
      <c r="BA20" s="5"/>
      <c r="BB20" s="6">
        <f>AVERAGE(T20,X20,AB20)</f>
        <v>-15.066666666666668</v>
      </c>
      <c r="BC20" s="6">
        <f t="shared" ref="BC20:BC22" si="23">AVERAGE(ABS(T20),ABS(X20),ABS(AB20))</f>
        <v>15.066666666666668</v>
      </c>
      <c r="BD20" s="6">
        <f>SQRT((SUM((X20^2),(AB20^2),(T20^2))/COUNT(X20,AB20,T20)))</f>
        <v>16.876216005570285</v>
      </c>
      <c r="BE20" s="12" t="s">
        <v>152</v>
      </c>
    </row>
    <row r="21" spans="1:57" x14ac:dyDescent="0.25">
      <c r="A21" s="4" t="s">
        <v>1</v>
      </c>
      <c r="B21"/>
      <c r="C21"/>
      <c r="D21"/>
      <c r="E21"/>
      <c r="F21"/>
      <c r="G21"/>
      <c r="H21"/>
      <c r="I21"/>
      <c r="J21"/>
      <c r="K21"/>
      <c r="L21"/>
      <c r="M21" s="5"/>
      <c r="N21" s="5">
        <v>13.3</v>
      </c>
      <c r="O21" s="5">
        <v>10.5</v>
      </c>
      <c r="P21" s="5">
        <f t="shared" si="19"/>
        <v>2.8000000000000007</v>
      </c>
      <c r="Q21" s="4"/>
      <c r="R21" s="15">
        <v>15.2</v>
      </c>
      <c r="S21" s="15">
        <v>7.8</v>
      </c>
      <c r="T21" s="15">
        <f t="shared" si="20"/>
        <v>7.3999999999999995</v>
      </c>
      <c r="U21" s="5"/>
      <c r="V21" s="16">
        <v>-1.5</v>
      </c>
      <c r="W21" s="16">
        <v>6</v>
      </c>
      <c r="X21" s="16">
        <f t="shared" si="21"/>
        <v>-7.5</v>
      </c>
      <c r="Y21" s="5"/>
      <c r="Z21" s="17">
        <v>-2.2000000000000002</v>
      </c>
      <c r="AA21" s="17">
        <v>5</v>
      </c>
      <c r="AB21" s="17">
        <f t="shared" si="22"/>
        <v>-7.2</v>
      </c>
      <c r="AC21" s="4"/>
      <c r="AD21"/>
      <c r="AE21"/>
      <c r="AF21"/>
      <c r="AG21"/>
      <c r="AH21"/>
      <c r="AI21"/>
      <c r="AJ21"/>
      <c r="AK21"/>
      <c r="AL21"/>
      <c r="AM21"/>
      <c r="AN21"/>
      <c r="AP21" s="22"/>
      <c r="AQ21" s="23"/>
      <c r="AR21" s="23"/>
      <c r="AS21" s="5"/>
      <c r="AT21"/>
      <c r="AU21"/>
      <c r="AV21"/>
      <c r="AW21" s="5"/>
      <c r="AX21"/>
      <c r="AY21"/>
      <c r="AZ21"/>
      <c r="BA21" s="5"/>
      <c r="BB21" s="6">
        <f>AVERAGE(T21,X21,AB21)</f>
        <v>-2.4333333333333336</v>
      </c>
      <c r="BC21" s="6">
        <f t="shared" si="23"/>
        <v>7.3666666666666663</v>
      </c>
      <c r="BD21" s="6">
        <f>SQRT((SUM((X21^2),(AB21^2),(T21^2))/COUNT(X21,AB21,T21)))</f>
        <v>7.3677223979553768</v>
      </c>
      <c r="BE21" s="12" t="s">
        <v>152</v>
      </c>
    </row>
    <row r="22" spans="1:57" x14ac:dyDescent="0.25">
      <c r="A22" s="4" t="s">
        <v>16</v>
      </c>
      <c r="B22"/>
      <c r="C22"/>
      <c r="D22"/>
      <c r="E22"/>
      <c r="F22"/>
      <c r="G22"/>
      <c r="H22"/>
      <c r="I22"/>
      <c r="J22"/>
      <c r="K22"/>
      <c r="L22"/>
      <c r="M22" s="5"/>
      <c r="N22" s="5">
        <v>10.1</v>
      </c>
      <c r="O22" s="5">
        <v>8.8000000000000007</v>
      </c>
      <c r="P22" s="5">
        <f t="shared" si="19"/>
        <v>1.2999999999999989</v>
      </c>
      <c r="Q22" s="4"/>
      <c r="R22" s="15">
        <v>15.4</v>
      </c>
      <c r="S22" s="15">
        <v>6.3</v>
      </c>
      <c r="T22" s="15">
        <f t="shared" si="20"/>
        <v>9.1000000000000014</v>
      </c>
      <c r="U22" s="5"/>
      <c r="V22" s="16">
        <v>3.5</v>
      </c>
      <c r="W22" s="16">
        <v>4.2</v>
      </c>
      <c r="X22" s="16">
        <f t="shared" si="21"/>
        <v>-0.70000000000000018</v>
      </c>
      <c r="Y22" s="5"/>
      <c r="Z22" s="17">
        <v>-1.1000000000000001</v>
      </c>
      <c r="AA22" s="17">
        <v>3.2</v>
      </c>
      <c r="AB22" s="17">
        <f t="shared" si="22"/>
        <v>-4.3000000000000007</v>
      </c>
      <c r="AC22" s="4"/>
      <c r="AD22"/>
      <c r="AE22"/>
      <c r="AF22"/>
      <c r="AG22"/>
      <c r="AH22"/>
      <c r="AI22"/>
      <c r="AJ22"/>
      <c r="AK22"/>
      <c r="AL22"/>
      <c r="AM22"/>
      <c r="AN22"/>
      <c r="AP22" s="22"/>
      <c r="AQ22" s="22"/>
      <c r="AR22" s="23"/>
      <c r="AS22" s="5"/>
      <c r="AT22"/>
      <c r="AU22"/>
      <c r="AV22"/>
      <c r="AW22" s="5"/>
      <c r="AX22"/>
      <c r="AY22"/>
      <c r="AZ22"/>
      <c r="BA22" s="5"/>
      <c r="BB22" s="6">
        <f>AVERAGE(T22,X22,AB22)</f>
        <v>1.3666666666666671</v>
      </c>
      <c r="BC22" s="6">
        <f t="shared" si="23"/>
        <v>4.7</v>
      </c>
      <c r="BD22" s="6">
        <f>SQRT((SUM((X22^2),(AB22^2),(T22^2))/COUNT(X22,AB22,T22)))</f>
        <v>5.8249463516842805</v>
      </c>
      <c r="BE22" s="12" t="s">
        <v>13</v>
      </c>
    </row>
    <row r="23" spans="1:57" ht="14.45" customHeight="1" x14ac:dyDescent="0.25">
      <c r="A23" s="66" t="s">
        <v>41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1"/>
      <c r="BB23" s="120"/>
      <c r="BC23" s="120"/>
      <c r="BD23" s="120"/>
    </row>
    <row r="24" spans="1:57" x14ac:dyDescent="0.25">
      <c r="A24" s="4" t="s">
        <v>0</v>
      </c>
      <c r="B24" s="5"/>
      <c r="C24" s="5"/>
      <c r="D24" s="5"/>
      <c r="E24" s="4"/>
      <c r="F24"/>
      <c r="G24"/>
      <c r="H24"/>
      <c r="I24"/>
      <c r="J24"/>
      <c r="K24"/>
      <c r="L24"/>
      <c r="M24" s="5"/>
      <c r="N24" s="5"/>
      <c r="O24" s="5"/>
      <c r="P24" s="5"/>
      <c r="Q24" s="4"/>
      <c r="R24" s="5">
        <v>9.9</v>
      </c>
      <c r="S24" s="5">
        <v>15.3</v>
      </c>
      <c r="T24" s="5">
        <f>R24-S24</f>
        <v>-5.4</v>
      </c>
      <c r="U24" s="4"/>
      <c r="V24" s="15">
        <v>-19.2</v>
      </c>
      <c r="W24" s="15">
        <v>10.7</v>
      </c>
      <c r="X24" s="15">
        <f>V24-W24</f>
        <v>-29.9</v>
      </c>
      <c r="Y24" s="5"/>
      <c r="Z24" s="16">
        <v>-2.5</v>
      </c>
      <c r="AA24" s="16">
        <v>10.7</v>
      </c>
      <c r="AB24" s="16">
        <f>Z24-AA24</f>
        <v>-13.2</v>
      </c>
      <c r="AC24" s="5"/>
      <c r="AD24" s="17">
        <v>11.2</v>
      </c>
      <c r="AE24" s="17">
        <v>10.3</v>
      </c>
      <c r="AF24" s="17">
        <f>AD24-AE24</f>
        <v>0.89999999999999858</v>
      </c>
      <c r="AG24" s="4"/>
      <c r="AH24"/>
      <c r="AI24"/>
      <c r="AJ24"/>
      <c r="AK24"/>
      <c r="AL24"/>
      <c r="AM24"/>
      <c r="AN24"/>
      <c r="AO24"/>
      <c r="AP24"/>
      <c r="AQ24"/>
      <c r="AR24"/>
      <c r="AS24" s="5"/>
      <c r="AT24"/>
      <c r="AU24"/>
      <c r="AV24"/>
      <c r="AW24" s="5"/>
      <c r="AX24"/>
      <c r="AY24"/>
      <c r="AZ24"/>
      <c r="BA24" s="5"/>
      <c r="BB24" s="6">
        <f>AVERAGE(AF24,X24,AB24)</f>
        <v>-14.066666666666668</v>
      </c>
      <c r="BC24" s="6">
        <f>AVERAGE(ABS(AF24),ABS(X24),ABS(AB24))</f>
        <v>14.666666666666666</v>
      </c>
      <c r="BD24" s="6">
        <f>SQRT((SUM((X24^2),(AB24^2),(AF24^2))/COUNT(X24,AB24,AF24)))</f>
        <v>18.877323256577803</v>
      </c>
      <c r="BE24" s="12" t="s">
        <v>152</v>
      </c>
    </row>
    <row r="25" spans="1:57" x14ac:dyDescent="0.25">
      <c r="A25" s="4" t="s">
        <v>15</v>
      </c>
      <c r="B25" s="5"/>
      <c r="C25" s="5"/>
      <c r="D25" s="5"/>
      <c r="E25" s="4"/>
      <c r="F25"/>
      <c r="G25"/>
      <c r="H25"/>
      <c r="I25"/>
      <c r="J25"/>
      <c r="K25"/>
      <c r="L25"/>
      <c r="M25" s="5"/>
      <c r="N25" s="5"/>
      <c r="O25" s="5"/>
      <c r="P25" s="5"/>
      <c r="Q25" s="4"/>
      <c r="R25" s="5">
        <v>-4.5999999999999996</v>
      </c>
      <c r="S25" s="5">
        <v>1.3</v>
      </c>
      <c r="T25" s="5">
        <f t="shared" ref="T25:T27" si="24">R25-S25</f>
        <v>-5.8999999999999995</v>
      </c>
      <c r="U25" s="4"/>
      <c r="V25" s="15">
        <v>-18</v>
      </c>
      <c r="W25" s="15">
        <v>2</v>
      </c>
      <c r="X25" s="15">
        <f t="shared" ref="X25:X27" si="25">V25-W25</f>
        <v>-20</v>
      </c>
      <c r="Y25" s="5"/>
      <c r="Z25" s="16">
        <v>-0.3</v>
      </c>
      <c r="AA25" s="16">
        <v>4.5</v>
      </c>
      <c r="AB25" s="16">
        <f t="shared" ref="AB25:AB27" si="26">Z25-AA25</f>
        <v>-4.8</v>
      </c>
      <c r="AC25" s="5"/>
      <c r="AD25" s="17">
        <v>5.5</v>
      </c>
      <c r="AE25" s="17">
        <v>5.5</v>
      </c>
      <c r="AF25" s="17">
        <f t="shared" ref="AF25:AF27" si="27">AD25-AE25</f>
        <v>0</v>
      </c>
      <c r="AG25" s="4"/>
      <c r="AH25"/>
      <c r="AI25"/>
      <c r="AJ25"/>
      <c r="AK25"/>
      <c r="AL25"/>
      <c r="AM25"/>
      <c r="AN25"/>
      <c r="AO25"/>
      <c r="AP25"/>
      <c r="AQ25"/>
      <c r="AR25"/>
      <c r="AS25" s="5"/>
      <c r="AT25"/>
      <c r="AU25"/>
      <c r="AV25"/>
      <c r="AW25" s="5"/>
      <c r="AX25"/>
      <c r="AY25"/>
      <c r="AZ25"/>
      <c r="BA25" s="5"/>
      <c r="BB25" s="6">
        <f>AVERAGE(AF25,X25,AB25)</f>
        <v>-8.2666666666666675</v>
      </c>
      <c r="BC25" s="6">
        <f t="shared" ref="BC25:BC27" si="28">AVERAGE(ABS(AF25),ABS(X25),ABS(AB25))</f>
        <v>8.2666666666666675</v>
      </c>
      <c r="BD25" s="6">
        <f>SQRT((SUM((X25^2),(AB25^2),(AF25^2))/COUNT(X25,AB25,AF25)))</f>
        <v>11.874903508379903</v>
      </c>
      <c r="BE25" s="12" t="s">
        <v>152</v>
      </c>
    </row>
    <row r="26" spans="1:57" x14ac:dyDescent="0.25">
      <c r="A26" s="4" t="s">
        <v>26</v>
      </c>
      <c r="B26" s="5"/>
      <c r="C26" s="5"/>
      <c r="D26" s="5"/>
      <c r="E26" s="4"/>
      <c r="F26"/>
      <c r="G26"/>
      <c r="H26"/>
      <c r="I26"/>
      <c r="J26"/>
      <c r="K26"/>
      <c r="L26"/>
      <c r="M26" s="5"/>
      <c r="N26" s="5"/>
      <c r="O26" s="5"/>
      <c r="P26" s="5"/>
      <c r="Q26" s="4"/>
      <c r="R26" s="5">
        <v>15.2</v>
      </c>
      <c r="S26" s="5">
        <v>13.9</v>
      </c>
      <c r="T26" s="5">
        <f t="shared" si="24"/>
        <v>1.2999999999999989</v>
      </c>
      <c r="U26" s="4"/>
      <c r="V26" s="15">
        <v>-1.5</v>
      </c>
      <c r="W26" s="15">
        <v>8.6</v>
      </c>
      <c r="X26" s="15">
        <f t="shared" si="25"/>
        <v>-10.1</v>
      </c>
      <c r="Y26" s="5"/>
      <c r="Z26" s="16">
        <v>-2.2000000000000002</v>
      </c>
      <c r="AA26" s="16">
        <v>6</v>
      </c>
      <c r="AB26" s="16">
        <f t="shared" si="26"/>
        <v>-8.1999999999999993</v>
      </c>
      <c r="AC26" s="5"/>
      <c r="AD26" s="17">
        <v>5.4</v>
      </c>
      <c r="AE26" s="17">
        <v>4.5</v>
      </c>
      <c r="AF26" s="17">
        <f t="shared" si="27"/>
        <v>0.90000000000000036</v>
      </c>
      <c r="AG26" s="4"/>
      <c r="AH26"/>
      <c r="AI26"/>
      <c r="AJ26"/>
      <c r="AK26"/>
      <c r="AL26"/>
      <c r="AM26"/>
      <c r="AN26"/>
      <c r="AO26"/>
      <c r="AP26"/>
      <c r="AQ26"/>
      <c r="AR26"/>
      <c r="AS26" s="5"/>
      <c r="AT26"/>
      <c r="AU26"/>
      <c r="AV26"/>
      <c r="AW26" s="5"/>
      <c r="AX26"/>
      <c r="AY26"/>
      <c r="AZ26"/>
      <c r="BA26" s="5"/>
      <c r="BB26" s="6">
        <f>AVERAGE(AF26,X26,AB26)</f>
        <v>-5.8</v>
      </c>
      <c r="BC26" s="6">
        <f t="shared" si="28"/>
        <v>6.3999999999999995</v>
      </c>
      <c r="BD26" s="6">
        <f>SQRT((SUM((X26^2),(AB26^2),(AF26^2))/COUNT(X26,AB26,AF26)))</f>
        <v>7.5290548322260653</v>
      </c>
      <c r="BE26" s="12" t="s">
        <v>152</v>
      </c>
    </row>
    <row r="27" spans="1:57" customFormat="1" x14ac:dyDescent="0.25">
      <c r="A27" s="4" t="s">
        <v>16</v>
      </c>
      <c r="B27" s="5"/>
      <c r="C27" s="5"/>
      <c r="D27" s="5"/>
      <c r="E27" s="4"/>
      <c r="M27" s="5"/>
      <c r="N27" s="5"/>
      <c r="O27" s="5"/>
      <c r="P27" s="5"/>
      <c r="Q27" s="4"/>
      <c r="R27" s="5">
        <v>15.4</v>
      </c>
      <c r="S27" s="5">
        <v>16.2</v>
      </c>
      <c r="T27" s="5">
        <f t="shared" si="24"/>
        <v>-0.79999999999999893</v>
      </c>
      <c r="U27" s="4"/>
      <c r="V27" s="15">
        <v>3.5</v>
      </c>
      <c r="W27" s="15">
        <v>9.8000000000000007</v>
      </c>
      <c r="X27" s="15">
        <f t="shared" si="25"/>
        <v>-6.3000000000000007</v>
      </c>
      <c r="Y27" s="5"/>
      <c r="Z27" s="16">
        <v>-1.1000000000000001</v>
      </c>
      <c r="AA27" s="16">
        <v>6.4</v>
      </c>
      <c r="AB27" s="16">
        <f t="shared" si="26"/>
        <v>-7.5</v>
      </c>
      <c r="AC27" s="5"/>
      <c r="AD27" s="17">
        <v>4.4000000000000004</v>
      </c>
      <c r="AE27" s="17">
        <v>5</v>
      </c>
      <c r="AF27" s="17">
        <f t="shared" si="27"/>
        <v>-0.59999999999999964</v>
      </c>
      <c r="AG27" s="4"/>
      <c r="AS27" s="5"/>
      <c r="AW27" s="5"/>
      <c r="BA27" s="5"/>
      <c r="BB27" s="6">
        <f>AVERAGE(AF27,X27,AB27)</f>
        <v>-4.8</v>
      </c>
      <c r="BC27" s="6">
        <f t="shared" si="28"/>
        <v>4.8</v>
      </c>
      <c r="BD27" s="6">
        <f>SQRT((SUM((X27^2),(AB27^2),(AF27^2))/COUNT(X27,AB27,AF27)))</f>
        <v>5.6656861896861184</v>
      </c>
      <c r="BE27" s="12" t="s">
        <v>152</v>
      </c>
    </row>
    <row r="28" spans="1:57" ht="14.45" customHeight="1" x14ac:dyDescent="0.25">
      <c r="A28" s="66" t="s">
        <v>31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1"/>
      <c r="BB28" s="120"/>
      <c r="BC28" s="120"/>
      <c r="BD28" s="120"/>
    </row>
    <row r="29" spans="1:57" x14ac:dyDescent="0.25">
      <c r="A29" s="4" t="s">
        <v>0</v>
      </c>
      <c r="B29"/>
      <c r="C29"/>
      <c r="D29"/>
      <c r="E29"/>
      <c r="F29"/>
      <c r="G29"/>
      <c r="H29"/>
      <c r="I29"/>
      <c r="J29" s="5"/>
      <c r="K29" s="5"/>
      <c r="L29" s="5"/>
      <c r="N29"/>
      <c r="O29"/>
      <c r="P29"/>
      <c r="Q29"/>
      <c r="R29"/>
      <c r="S29"/>
      <c r="T29"/>
      <c r="U29"/>
      <c r="V29" s="5">
        <v>-19.2</v>
      </c>
      <c r="W29" s="5">
        <v>-19.7</v>
      </c>
      <c r="X29" s="5">
        <f>V29-W29</f>
        <v>0.5</v>
      </c>
      <c r="Z29" s="15">
        <v>-2.5</v>
      </c>
      <c r="AA29" s="15">
        <v>-8.8000000000000007</v>
      </c>
      <c r="AB29" s="15">
        <f>Z29-AA29</f>
        <v>6.3000000000000007</v>
      </c>
      <c r="AC29" s="5"/>
      <c r="AD29" s="16">
        <v>11.2</v>
      </c>
      <c r="AE29" s="16">
        <v>-0.3</v>
      </c>
      <c r="AF29" s="16">
        <f>AD29-AE29</f>
        <v>11.5</v>
      </c>
      <c r="AG29" s="5"/>
      <c r="AH29" s="17">
        <v>8.6999999999999993</v>
      </c>
      <c r="AI29" s="17">
        <v>4.2</v>
      </c>
      <c r="AJ29" s="17">
        <f>AH29-AI29</f>
        <v>4.4999999999999991</v>
      </c>
      <c r="AQ29" s="19"/>
      <c r="AR29" s="19"/>
      <c r="AS29" s="5"/>
      <c r="AT29"/>
      <c r="AU29"/>
      <c r="AV29"/>
      <c r="AW29" s="5"/>
      <c r="AX29"/>
      <c r="AY29"/>
      <c r="AZ29"/>
      <c r="BA29" s="5"/>
      <c r="BB29" s="6">
        <f>AVERAGE(AF29,AJ29,AB29)</f>
        <v>7.4333333333333336</v>
      </c>
      <c r="BC29" s="6">
        <f>AVERAGE(ABS(AF29),ABS(AJ29),ABS(AB29))</f>
        <v>7.4333333333333336</v>
      </c>
      <c r="BD29" s="6">
        <f>SQRT((SUM((AJ29^2),(AB29^2),(AF29^2))/COUNT(AJ29,AB29,AF29)))</f>
        <v>8.003957354542397</v>
      </c>
      <c r="BE29" s="12" t="s">
        <v>13</v>
      </c>
    </row>
    <row r="30" spans="1:57" x14ac:dyDescent="0.25">
      <c r="A30" s="4" t="s">
        <v>15</v>
      </c>
      <c r="B30"/>
      <c r="C30"/>
      <c r="D30"/>
      <c r="E30"/>
      <c r="F30"/>
      <c r="G30"/>
      <c r="H30"/>
      <c r="I30"/>
      <c r="J30" s="5"/>
      <c r="K30" s="5"/>
      <c r="L30" s="5"/>
      <c r="N30"/>
      <c r="O30"/>
      <c r="P30"/>
      <c r="Q30"/>
      <c r="R30"/>
      <c r="S30"/>
      <c r="T30"/>
      <c r="U30"/>
      <c r="V30" s="5">
        <v>-18</v>
      </c>
      <c r="W30" s="5">
        <v>-18</v>
      </c>
      <c r="X30" s="5">
        <f t="shared" ref="X30:X32" si="29">V30-W30</f>
        <v>0</v>
      </c>
      <c r="Z30" s="15">
        <v>-0.3</v>
      </c>
      <c r="AA30" s="15">
        <v>-4</v>
      </c>
      <c r="AB30" s="15">
        <f t="shared" ref="AB30:AB32" si="30">Z30-AA30</f>
        <v>3.7</v>
      </c>
      <c r="AC30" s="5"/>
      <c r="AD30" s="16">
        <v>5.5</v>
      </c>
      <c r="AE30" s="16">
        <v>2</v>
      </c>
      <c r="AF30" s="16">
        <f t="shared" ref="AF30:AF32" si="31">AD30-AE30</f>
        <v>3.5</v>
      </c>
      <c r="AG30" s="5"/>
      <c r="AH30" s="17">
        <v>5.6</v>
      </c>
      <c r="AI30" s="17">
        <v>3.8</v>
      </c>
      <c r="AJ30" s="17">
        <f t="shared" ref="AJ30:AJ32" si="32">AH30-AI30</f>
        <v>1.7999999999999998</v>
      </c>
      <c r="AQ30" s="19"/>
      <c r="AR30" s="19"/>
      <c r="AS30" s="5"/>
      <c r="AT30"/>
      <c r="AU30"/>
      <c r="AV30"/>
      <c r="AW30" s="5"/>
      <c r="AX30"/>
      <c r="AY30"/>
      <c r="AZ30"/>
      <c r="BA30" s="5"/>
      <c r="BB30" s="6">
        <f>AVERAGE(AF30,AJ30,AB30)</f>
        <v>3</v>
      </c>
      <c r="BC30" s="6">
        <f t="shared" ref="BC30:BC32" si="33">AVERAGE(ABS(AF30),ABS(AJ30),ABS(AB30))</f>
        <v>3</v>
      </c>
      <c r="BD30" s="6">
        <f>SQRT((SUM((AJ30^2),(AB30^2),(AF30^2))/COUNT(AJ30,AB30,AF30)))</f>
        <v>3.1187604375242843</v>
      </c>
      <c r="BE30" s="12" t="s">
        <v>13</v>
      </c>
    </row>
    <row r="31" spans="1:57" x14ac:dyDescent="0.25">
      <c r="A31" s="4" t="s">
        <v>1</v>
      </c>
      <c r="B31"/>
      <c r="C31"/>
      <c r="D31"/>
      <c r="E31"/>
      <c r="F31"/>
      <c r="G31"/>
      <c r="H31"/>
      <c r="I31"/>
      <c r="J31" s="5"/>
      <c r="K31" s="5"/>
      <c r="L31" s="5"/>
      <c r="N31"/>
      <c r="O31"/>
      <c r="P31"/>
      <c r="Q31"/>
      <c r="R31"/>
      <c r="S31"/>
      <c r="T31"/>
      <c r="U31"/>
      <c r="V31" s="5">
        <v>-1.5</v>
      </c>
      <c r="W31" s="5">
        <v>-2.1</v>
      </c>
      <c r="X31" s="5">
        <f t="shared" si="29"/>
        <v>0.60000000000000009</v>
      </c>
      <c r="Z31" s="15">
        <v>-2.2000000000000002</v>
      </c>
      <c r="AA31" s="15">
        <v>-5</v>
      </c>
      <c r="AB31" s="15">
        <f t="shared" si="30"/>
        <v>2.8</v>
      </c>
      <c r="AC31" s="5"/>
      <c r="AD31" s="16">
        <v>5.4</v>
      </c>
      <c r="AE31" s="16">
        <v>-2.2000000000000002</v>
      </c>
      <c r="AF31" s="16">
        <f t="shared" si="31"/>
        <v>7.6000000000000005</v>
      </c>
      <c r="AG31" s="5"/>
      <c r="AH31" s="17">
        <v>3</v>
      </c>
      <c r="AI31" s="17">
        <v>0.4</v>
      </c>
      <c r="AJ31" s="17">
        <f t="shared" si="32"/>
        <v>2.6</v>
      </c>
      <c r="AQ31" s="19"/>
      <c r="AR31" s="19"/>
      <c r="AS31" s="5"/>
      <c r="AT31"/>
      <c r="AU31"/>
      <c r="AV31"/>
      <c r="AW31" s="5"/>
      <c r="AX31"/>
      <c r="AY31"/>
      <c r="AZ31"/>
      <c r="BA31" s="5"/>
      <c r="BB31" s="6">
        <f>AVERAGE(AF31,AJ31,AB31)</f>
        <v>4.333333333333333</v>
      </c>
      <c r="BC31" s="6">
        <f t="shared" si="33"/>
        <v>4.333333333333333</v>
      </c>
      <c r="BD31" s="6">
        <f>SQRT((SUM((AJ31^2),(AB31^2),(AF31^2))/COUNT(AJ31,AB31,AF31)))</f>
        <v>4.9112116631234697</v>
      </c>
      <c r="BE31" s="12" t="s">
        <v>13</v>
      </c>
    </row>
    <row r="32" spans="1:57" x14ac:dyDescent="0.25">
      <c r="A32" s="4" t="s">
        <v>16</v>
      </c>
      <c r="B32"/>
      <c r="C32"/>
      <c r="D32"/>
      <c r="E32"/>
      <c r="F32"/>
      <c r="G32"/>
      <c r="H32"/>
      <c r="I32"/>
      <c r="J32" s="5"/>
      <c r="K32" s="5"/>
      <c r="L32" s="5"/>
      <c r="N32"/>
      <c r="O32"/>
      <c r="P32"/>
      <c r="Q32"/>
      <c r="R32"/>
      <c r="S32"/>
      <c r="T32"/>
      <c r="U32"/>
      <c r="V32" s="5">
        <v>3.5</v>
      </c>
      <c r="W32" s="5">
        <v>3.5</v>
      </c>
      <c r="X32" s="5">
        <f t="shared" si="29"/>
        <v>0</v>
      </c>
      <c r="Z32" s="15">
        <v>-1.1000000000000001</v>
      </c>
      <c r="AA32" s="15">
        <v>-3.7</v>
      </c>
      <c r="AB32" s="15">
        <f t="shared" si="30"/>
        <v>2.6</v>
      </c>
      <c r="AC32" s="5"/>
      <c r="AD32" s="16">
        <v>4.4000000000000004</v>
      </c>
      <c r="AE32" s="16">
        <v>-2.8</v>
      </c>
      <c r="AF32" s="16">
        <f t="shared" si="31"/>
        <v>7.2</v>
      </c>
      <c r="AG32" s="5"/>
      <c r="AH32" s="17">
        <v>2.2999999999999998</v>
      </c>
      <c r="AI32" s="17">
        <v>0</v>
      </c>
      <c r="AJ32" s="17">
        <f t="shared" si="32"/>
        <v>2.2999999999999998</v>
      </c>
      <c r="AR32" s="19"/>
      <c r="AS32" s="5"/>
      <c r="AT32"/>
      <c r="AU32"/>
      <c r="AV32"/>
      <c r="AW32" s="5"/>
      <c r="AX32"/>
      <c r="AY32"/>
      <c r="AZ32"/>
      <c r="BA32" s="5"/>
      <c r="BB32" s="6">
        <f>AVERAGE(AF32,AJ32,AB32)</f>
        <v>4.0333333333333332</v>
      </c>
      <c r="BC32" s="6">
        <f t="shared" si="33"/>
        <v>4.0333333333333332</v>
      </c>
      <c r="BD32" s="6">
        <f>SQRT((SUM((AJ32^2),(AB32^2),(AF32^2))/COUNT(AJ32,AB32,AF32)))</f>
        <v>4.6148311633977102</v>
      </c>
      <c r="BE32" s="12" t="s">
        <v>13</v>
      </c>
    </row>
    <row r="33" spans="1:57" ht="14.45" customHeight="1" x14ac:dyDescent="0.25">
      <c r="A33" s="66" t="s">
        <v>30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1"/>
      <c r="BB33" s="120"/>
      <c r="BC33" s="120"/>
      <c r="BD33" s="120"/>
    </row>
    <row r="34" spans="1:57" x14ac:dyDescent="0.25">
      <c r="A34" s="4" t="s">
        <v>0</v>
      </c>
      <c r="B34"/>
      <c r="C34"/>
      <c r="D34"/>
      <c r="E34"/>
      <c r="F34"/>
      <c r="G34"/>
      <c r="H34"/>
      <c r="I34"/>
      <c r="J34"/>
      <c r="K34"/>
      <c r="L34"/>
      <c r="M34" s="5"/>
      <c r="N34"/>
      <c r="O34"/>
      <c r="P34"/>
      <c r="Q34"/>
      <c r="R34"/>
      <c r="S34"/>
      <c r="T34"/>
      <c r="U34"/>
      <c r="V34"/>
      <c r="W34"/>
      <c r="X34"/>
      <c r="Y34" s="5"/>
      <c r="Z34" s="5">
        <v>-2.5</v>
      </c>
      <c r="AA34" s="5">
        <v>-3.4</v>
      </c>
      <c r="AB34" s="5">
        <f>Z34-AA34</f>
        <v>0.89999999999999991</v>
      </c>
      <c r="AC34" s="4"/>
      <c r="AD34" s="15">
        <v>11.2</v>
      </c>
      <c r="AE34" s="15">
        <v>3.9</v>
      </c>
      <c r="AF34" s="15">
        <f>AD34-AE34</f>
        <v>7.2999999999999989</v>
      </c>
      <c r="AG34" s="5"/>
      <c r="AH34" s="16">
        <v>8.6999999999999993</v>
      </c>
      <c r="AI34" s="16">
        <v>5.0999999999999996</v>
      </c>
      <c r="AJ34" s="16">
        <f>AH34-AI34</f>
        <v>3.5999999999999996</v>
      </c>
      <c r="AK34" s="5"/>
      <c r="AL34" s="17">
        <v>5.3</v>
      </c>
      <c r="AM34" s="17">
        <v>5.5</v>
      </c>
      <c r="AN34" s="17">
        <f>AL34-AM34</f>
        <v>-0.20000000000000018</v>
      </c>
      <c r="AP34" s="22">
        <v>3.6</v>
      </c>
      <c r="AQ34" s="23">
        <v>6</v>
      </c>
      <c r="AR34" s="23">
        <f>AP34-AQ34</f>
        <v>-2.4</v>
      </c>
      <c r="AS34" s="5"/>
      <c r="AT34"/>
      <c r="AU34"/>
      <c r="AV34"/>
      <c r="AW34" s="5"/>
      <c r="AX34"/>
      <c r="AY34"/>
      <c r="AZ34"/>
      <c r="BA34" s="5"/>
      <c r="BB34" s="6">
        <f>AVERAGE(AF34,AJ34,AN34,AB34)</f>
        <v>2.9</v>
      </c>
      <c r="BC34" s="6">
        <f>AVERAGE(ABS(AF34),ABS(AJ34),ABS(AN34),ABS(AB34))</f>
        <v>2.9999999999999996</v>
      </c>
      <c r="BD34" s="6">
        <f>SQRT((SUM((AJ34^2),(AN34^2),(AB34^2),(AF34^2))/COUNT(AJ34,AN34,AB34,AF34)))</f>
        <v>4.0957294832544786</v>
      </c>
      <c r="BE34" s="12" t="s">
        <v>13</v>
      </c>
    </row>
    <row r="35" spans="1:57" x14ac:dyDescent="0.25">
      <c r="A35" s="4" t="s">
        <v>15</v>
      </c>
      <c r="B35"/>
      <c r="C35"/>
      <c r="D35"/>
      <c r="E35"/>
      <c r="F35"/>
      <c r="G35"/>
      <c r="H35"/>
      <c r="I35"/>
      <c r="J35"/>
      <c r="K35"/>
      <c r="L35"/>
      <c r="M35" s="5"/>
      <c r="N35"/>
      <c r="O35"/>
      <c r="P35"/>
      <c r="Q35"/>
      <c r="R35"/>
      <c r="S35"/>
      <c r="T35"/>
      <c r="U35"/>
      <c r="V35"/>
      <c r="W35"/>
      <c r="X35"/>
      <c r="Y35" s="5"/>
      <c r="Z35" s="5">
        <v>-0.3</v>
      </c>
      <c r="AA35" s="5">
        <v>-0.4</v>
      </c>
      <c r="AB35" s="5">
        <f t="shared" ref="AB35:AB37" si="34">Z35-AA35</f>
        <v>0.10000000000000003</v>
      </c>
      <c r="AC35" s="4"/>
      <c r="AD35" s="15">
        <v>5.5</v>
      </c>
      <c r="AE35" s="15">
        <v>3.3</v>
      </c>
      <c r="AF35" s="15">
        <f t="shared" ref="AF35:AF37" si="35">AD35-AE35</f>
        <v>2.2000000000000002</v>
      </c>
      <c r="AG35" s="5"/>
      <c r="AH35" s="16">
        <v>5.6</v>
      </c>
      <c r="AI35" s="16">
        <v>4</v>
      </c>
      <c r="AJ35" s="16">
        <f t="shared" ref="AJ35:AJ37" si="36">AH35-AI35</f>
        <v>1.5999999999999996</v>
      </c>
      <c r="AK35" s="5"/>
      <c r="AL35" s="17">
        <v>4.2</v>
      </c>
      <c r="AM35" s="17">
        <v>3.9</v>
      </c>
      <c r="AN35" s="17">
        <f t="shared" ref="AN35:AN37" si="37">AL35-AM35</f>
        <v>0.30000000000000027</v>
      </c>
      <c r="AP35" s="22">
        <v>2.4</v>
      </c>
      <c r="AQ35" s="23">
        <v>4</v>
      </c>
      <c r="AR35" s="23">
        <f t="shared" ref="AR35:AR37" si="38">AP35-AQ35</f>
        <v>-1.6</v>
      </c>
      <c r="AS35" s="5"/>
      <c r="AT35"/>
      <c r="AU35"/>
      <c r="AV35"/>
      <c r="AW35" s="5"/>
      <c r="AX35"/>
      <c r="AY35"/>
      <c r="AZ35"/>
      <c r="BA35" s="5"/>
      <c r="BB35" s="6">
        <f>AVERAGE(AF35,AJ35,AN35,AB35)</f>
        <v>1.0499999999999998</v>
      </c>
      <c r="BC35" s="6">
        <f t="shared" ref="BC35:BC37" si="39">AVERAGE(ABS(AF35),ABS(AJ35),ABS(AN35),ABS(AB35))</f>
        <v>1.0499999999999998</v>
      </c>
      <c r="BD35" s="6">
        <f>SQRT((SUM((AJ35^2),(AN35^2),(AB35^2),(AF35^2))/COUNT(AJ35,AN35,AB35,AF35)))</f>
        <v>1.3693063937629153</v>
      </c>
      <c r="BE35" s="12" t="s">
        <v>13</v>
      </c>
    </row>
    <row r="36" spans="1:57" x14ac:dyDescent="0.25">
      <c r="A36" s="4" t="s">
        <v>1</v>
      </c>
      <c r="B36"/>
      <c r="C36"/>
      <c r="D36"/>
      <c r="E36"/>
      <c r="F36"/>
      <c r="G36"/>
      <c r="H36"/>
      <c r="I36"/>
      <c r="J36"/>
      <c r="K36"/>
      <c r="L36"/>
      <c r="M36" s="5"/>
      <c r="N36"/>
      <c r="O36"/>
      <c r="P36"/>
      <c r="Q36"/>
      <c r="R36"/>
      <c r="S36"/>
      <c r="T36"/>
      <c r="U36"/>
      <c r="V36"/>
      <c r="W36"/>
      <c r="X36"/>
      <c r="Y36" s="5"/>
      <c r="Z36" s="5">
        <v>-2.2000000000000002</v>
      </c>
      <c r="AA36" s="5">
        <f>AA34-AA35</f>
        <v>-3</v>
      </c>
      <c r="AB36" s="5">
        <f t="shared" si="34"/>
        <v>0.79999999999999982</v>
      </c>
      <c r="AC36" s="4"/>
      <c r="AD36" s="15">
        <v>5.4</v>
      </c>
      <c r="AE36" s="15">
        <f>AE34-AE35</f>
        <v>0.60000000000000009</v>
      </c>
      <c r="AF36" s="15">
        <f t="shared" si="35"/>
        <v>4.8000000000000007</v>
      </c>
      <c r="AG36" s="5"/>
      <c r="AH36" s="16">
        <v>3</v>
      </c>
      <c r="AI36" s="16">
        <v>1</v>
      </c>
      <c r="AJ36" s="16">
        <f t="shared" si="36"/>
        <v>2</v>
      </c>
      <c r="AK36" s="5"/>
      <c r="AL36" s="17">
        <v>1.1000000000000001</v>
      </c>
      <c r="AM36" s="17">
        <v>1.5</v>
      </c>
      <c r="AN36" s="17">
        <f t="shared" si="37"/>
        <v>-0.39999999999999991</v>
      </c>
      <c r="AP36" s="22">
        <v>1.2</v>
      </c>
      <c r="AQ36" s="23">
        <v>2</v>
      </c>
      <c r="AR36" s="23">
        <f t="shared" si="38"/>
        <v>-0.8</v>
      </c>
      <c r="AS36" s="5"/>
      <c r="AT36"/>
      <c r="AU36"/>
      <c r="AV36"/>
      <c r="AW36" s="5"/>
      <c r="AX36"/>
      <c r="AY36"/>
      <c r="AZ36"/>
      <c r="BA36" s="5"/>
      <c r="BB36" s="6">
        <f>AVERAGE(AF36,AJ36,AN36,AB36)</f>
        <v>1.8</v>
      </c>
      <c r="BC36" s="6">
        <f t="shared" si="39"/>
        <v>2</v>
      </c>
      <c r="BD36" s="6">
        <f>SQRT((SUM((AJ36^2),(AN36^2),(AB36^2),(AF36^2))/COUNT(AJ36,AN36,AB36,AF36)))</f>
        <v>2.6381811916545841</v>
      </c>
      <c r="BE36" s="12" t="s">
        <v>13</v>
      </c>
    </row>
    <row r="37" spans="1:57" x14ac:dyDescent="0.25">
      <c r="A37" s="4" t="s">
        <v>16</v>
      </c>
      <c r="B37"/>
      <c r="C37"/>
      <c r="D37"/>
      <c r="E37"/>
      <c r="F37"/>
      <c r="G37"/>
      <c r="H37"/>
      <c r="I37"/>
      <c r="J37"/>
      <c r="K37"/>
      <c r="L37"/>
      <c r="M37" s="5"/>
      <c r="N37"/>
      <c r="O37"/>
      <c r="P37"/>
      <c r="Q37"/>
      <c r="R37"/>
      <c r="S37"/>
      <c r="T37"/>
      <c r="U37"/>
      <c r="V37"/>
      <c r="W37"/>
      <c r="X37"/>
      <c r="Y37" s="5"/>
      <c r="Z37" s="5">
        <v>-1.1000000000000001</v>
      </c>
      <c r="AA37" s="5">
        <v>-1.2</v>
      </c>
      <c r="AB37" s="5">
        <f t="shared" si="34"/>
        <v>9.9999999999999867E-2</v>
      </c>
      <c r="AC37" s="4"/>
      <c r="AD37" s="15">
        <v>4.4000000000000004</v>
      </c>
      <c r="AE37" s="15">
        <v>1.1000000000000001</v>
      </c>
      <c r="AF37" s="15">
        <f t="shared" si="35"/>
        <v>3.3000000000000003</v>
      </c>
      <c r="AG37" s="5"/>
      <c r="AH37" s="16">
        <v>2.2999999999999998</v>
      </c>
      <c r="AI37" s="16">
        <v>1.5</v>
      </c>
      <c r="AJ37" s="16">
        <f t="shared" si="36"/>
        <v>0.79999999999999982</v>
      </c>
      <c r="AK37" s="5"/>
      <c r="AL37" s="17">
        <v>0</v>
      </c>
      <c r="AM37" s="17">
        <v>2</v>
      </c>
      <c r="AN37" s="17">
        <f t="shared" si="37"/>
        <v>-2</v>
      </c>
      <c r="AP37" s="22">
        <v>0.6</v>
      </c>
      <c r="AQ37" s="22">
        <v>2.2000000000000002</v>
      </c>
      <c r="AR37" s="23">
        <f t="shared" si="38"/>
        <v>-1.6</v>
      </c>
      <c r="AS37" s="5"/>
      <c r="AT37"/>
      <c r="AU37"/>
      <c r="AV37"/>
      <c r="AW37" s="5"/>
      <c r="AX37"/>
      <c r="AY37"/>
      <c r="AZ37"/>
      <c r="BA37" s="5"/>
      <c r="BB37" s="6">
        <f>AVERAGE(AF37,AJ37,AN37,AB37)</f>
        <v>0.54999999999999982</v>
      </c>
      <c r="BC37" s="6">
        <f t="shared" si="39"/>
        <v>1.5499999999999998</v>
      </c>
      <c r="BD37" s="6">
        <f>SQRT((SUM((AJ37^2),(AN37^2),(AB37^2),(AF37^2))/COUNT(AJ37,AN37,AB37,AF37)))</f>
        <v>1.9710403344427025</v>
      </c>
      <c r="BE37" s="12" t="s">
        <v>13</v>
      </c>
    </row>
    <row r="38" spans="1:57" ht="14.45" customHeight="1" x14ac:dyDescent="0.25">
      <c r="A38" s="66" t="s">
        <v>27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1"/>
      <c r="BB38" s="120"/>
      <c r="BC38" s="120"/>
      <c r="BD38" s="120"/>
    </row>
    <row r="39" spans="1:57" x14ac:dyDescent="0.25">
      <c r="A39" s="4" t="s">
        <v>0</v>
      </c>
      <c r="B39" s="5"/>
      <c r="C39" s="5"/>
      <c r="D39" s="5"/>
      <c r="E39" s="4"/>
      <c r="F39"/>
      <c r="G39"/>
      <c r="H39"/>
      <c r="I39"/>
      <c r="J39"/>
      <c r="K39"/>
      <c r="L39"/>
      <c r="M39" s="5"/>
      <c r="N39" s="5"/>
      <c r="O39" s="5"/>
      <c r="P39" s="5"/>
      <c r="Q39" s="4"/>
      <c r="R39"/>
      <c r="S39"/>
      <c r="T39"/>
      <c r="U39"/>
      <c r="V39"/>
      <c r="W39"/>
      <c r="X39"/>
      <c r="Y39" s="5"/>
      <c r="Z39" s="5"/>
      <c r="AA39" s="5"/>
      <c r="AB39" s="5"/>
      <c r="AC39" s="4"/>
      <c r="AD39" s="5">
        <v>11.2</v>
      </c>
      <c r="AE39" s="5">
        <v>8.6999999999999993</v>
      </c>
      <c r="AF39" s="5">
        <f>AD39-AE39</f>
        <v>2.5</v>
      </c>
      <c r="AG39" s="4"/>
      <c r="AH39" s="15">
        <v>8.6999999999999993</v>
      </c>
      <c r="AI39" s="15">
        <v>4.3</v>
      </c>
      <c r="AJ39" s="15">
        <f>AH39-AI39</f>
        <v>4.3999999999999995</v>
      </c>
      <c r="AK39" s="5"/>
      <c r="AL39" s="16">
        <v>5.3</v>
      </c>
      <c r="AM39" s="16">
        <v>6.1</v>
      </c>
      <c r="AN39" s="16">
        <f>AL39-AM39</f>
        <v>-0.79999999999999982</v>
      </c>
      <c r="AO39" s="5"/>
      <c r="AP39" s="17">
        <v>3.6</v>
      </c>
      <c r="AQ39" s="17">
        <v>6.1</v>
      </c>
      <c r="AR39" s="17">
        <f>AP39-AQ39</f>
        <v>-2.4999999999999996</v>
      </c>
      <c r="AS39" s="5"/>
      <c r="AT39"/>
      <c r="AU39"/>
      <c r="AV39"/>
      <c r="AW39" s="5"/>
      <c r="AX39"/>
      <c r="AY39"/>
      <c r="AZ39"/>
      <c r="BA39" s="5"/>
      <c r="BB39" s="6">
        <f>AVERAGE(AJ39,AN39,AR39,AF39)</f>
        <v>0.9</v>
      </c>
      <c r="BC39" s="6">
        <f>AVERAGE(ABS(AJ39),ABS(AN39),ABS(AR39),ABS(AF39))</f>
        <v>2.5499999999999998</v>
      </c>
      <c r="BD39" s="6">
        <f>SQRT((SUM((AN39^2),(AR39^2),(AF39^2),(AJ39^2))/COUNT(AN39,AR39,AF39,AJ39)))</f>
        <v>2.8504385627478448</v>
      </c>
      <c r="BE39" s="12" t="s">
        <v>13</v>
      </c>
    </row>
    <row r="40" spans="1:57" x14ac:dyDescent="0.25">
      <c r="A40" s="4" t="s">
        <v>15</v>
      </c>
      <c r="B40" s="5"/>
      <c r="C40" s="5"/>
      <c r="D40" s="5"/>
      <c r="E40" s="4"/>
      <c r="F40"/>
      <c r="G40"/>
      <c r="H40"/>
      <c r="I40"/>
      <c r="J40"/>
      <c r="K40"/>
      <c r="L40"/>
      <c r="M40" s="5"/>
      <c r="N40" s="5"/>
      <c r="O40" s="5"/>
      <c r="P40" s="5"/>
      <c r="Q40" s="4"/>
      <c r="R40"/>
      <c r="S40"/>
      <c r="T40"/>
      <c r="U40"/>
      <c r="V40"/>
      <c r="W40"/>
      <c r="X40"/>
      <c r="Y40" s="5"/>
      <c r="Z40" s="5"/>
      <c r="AA40" s="5"/>
      <c r="AB40" s="5"/>
      <c r="AC40" s="4"/>
      <c r="AD40" s="5">
        <v>5.5</v>
      </c>
      <c r="AE40" s="5">
        <v>4.5</v>
      </c>
      <c r="AF40" s="5">
        <f t="shared" ref="AF40:AF42" si="40">AD40-AE40</f>
        <v>1</v>
      </c>
      <c r="AG40" s="4"/>
      <c r="AH40" s="15">
        <v>5.6</v>
      </c>
      <c r="AI40" s="15">
        <v>2.5</v>
      </c>
      <c r="AJ40" s="15">
        <f t="shared" ref="AJ40:AJ42" si="41">AH40-AI40</f>
        <v>3.0999999999999996</v>
      </c>
      <c r="AK40" s="5"/>
      <c r="AL40" s="16">
        <v>4.2</v>
      </c>
      <c r="AM40" s="16">
        <v>4</v>
      </c>
      <c r="AN40" s="16">
        <f t="shared" ref="AN40:AN42" si="42">AL40-AM40</f>
        <v>0.20000000000000018</v>
      </c>
      <c r="AO40" s="5"/>
      <c r="AP40" s="17">
        <v>2.4</v>
      </c>
      <c r="AQ40" s="17">
        <v>4</v>
      </c>
      <c r="AR40" s="17">
        <f t="shared" ref="AR40:AR42" si="43">AP40-AQ40</f>
        <v>-1.6</v>
      </c>
      <c r="AS40" s="5"/>
      <c r="AT40"/>
      <c r="AU40"/>
      <c r="AV40"/>
      <c r="AW40" s="5"/>
      <c r="AX40"/>
      <c r="AY40"/>
      <c r="AZ40"/>
      <c r="BA40" s="5"/>
      <c r="BB40" s="6">
        <f>AVERAGE(AJ40,AN40,AR40,AF40)</f>
        <v>0.67499999999999993</v>
      </c>
      <c r="BC40" s="6">
        <f t="shared" ref="BC40:BC42" si="44">AVERAGE(ABS(AJ40),ABS(AN40),ABS(AR40),ABS(AF40))</f>
        <v>1.4750000000000001</v>
      </c>
      <c r="BD40" s="6">
        <f>SQRT((SUM((AN40^2),(AR40^2),(AF40^2),(AJ40^2))/COUNT(AN40,AR40,AF40,AJ40)))</f>
        <v>1.8172781845386246</v>
      </c>
      <c r="BE40" s="12" t="s">
        <v>13</v>
      </c>
    </row>
    <row r="41" spans="1:57" x14ac:dyDescent="0.25">
      <c r="A41" s="4" t="s">
        <v>26</v>
      </c>
      <c r="B41" s="5"/>
      <c r="C41" s="5"/>
      <c r="D41" s="5"/>
      <c r="E41" s="4"/>
      <c r="F41"/>
      <c r="G41"/>
      <c r="H41"/>
      <c r="I41"/>
      <c r="J41"/>
      <c r="K41"/>
      <c r="L41"/>
      <c r="M41" s="5"/>
      <c r="N41" s="5"/>
      <c r="O41" s="5"/>
      <c r="P41" s="5"/>
      <c r="Q41" s="4"/>
      <c r="R41"/>
      <c r="S41"/>
      <c r="T41"/>
      <c r="U41"/>
      <c r="V41"/>
      <c r="W41"/>
      <c r="X41"/>
      <c r="Y41" s="5"/>
      <c r="Z41" s="5"/>
      <c r="AA41" s="5"/>
      <c r="AB41" s="5"/>
      <c r="AC41" s="4"/>
      <c r="AD41" s="5">
        <v>5.4</v>
      </c>
      <c r="AE41" s="5">
        <v>4</v>
      </c>
      <c r="AF41" s="5">
        <f t="shared" si="40"/>
        <v>1.4000000000000004</v>
      </c>
      <c r="AG41" s="4"/>
      <c r="AH41" s="15">
        <v>3</v>
      </c>
      <c r="AI41" s="15">
        <v>1.7</v>
      </c>
      <c r="AJ41" s="15">
        <f t="shared" si="41"/>
        <v>1.3</v>
      </c>
      <c r="AK41" s="5"/>
      <c r="AL41" s="16">
        <v>1.1000000000000001</v>
      </c>
      <c r="AM41" s="16">
        <v>2</v>
      </c>
      <c r="AN41" s="16">
        <f t="shared" si="42"/>
        <v>-0.89999999999999991</v>
      </c>
      <c r="AO41" s="5"/>
      <c r="AP41" s="17">
        <v>1.2</v>
      </c>
      <c r="AQ41" s="17">
        <v>2</v>
      </c>
      <c r="AR41" s="17">
        <f t="shared" si="43"/>
        <v>-0.8</v>
      </c>
      <c r="AS41" s="5"/>
      <c r="AT41"/>
      <c r="AU41"/>
      <c r="AV41"/>
      <c r="AW41" s="5"/>
      <c r="AX41"/>
      <c r="AY41"/>
      <c r="AZ41"/>
      <c r="BA41" s="5"/>
      <c r="BB41" s="6">
        <f>AVERAGE(AJ41,AN41,AR41,AF41)</f>
        <v>0.25000000000000011</v>
      </c>
      <c r="BC41" s="6">
        <f t="shared" si="44"/>
        <v>1.1000000000000001</v>
      </c>
      <c r="BD41" s="6">
        <f>SQRT((SUM((AN41^2),(AR41^2),(AF41^2),(AJ41^2))/COUNT(AN41,AR41,AF41,AJ41)))</f>
        <v>1.1291589790636216</v>
      </c>
      <c r="BE41" s="12" t="s">
        <v>13</v>
      </c>
    </row>
    <row r="42" spans="1:57" customFormat="1" x14ac:dyDescent="0.25">
      <c r="A42" s="4" t="s">
        <v>16</v>
      </c>
      <c r="B42" s="5"/>
      <c r="C42" s="5"/>
      <c r="D42" s="5"/>
      <c r="E42" s="4"/>
      <c r="M42" s="5"/>
      <c r="N42" s="5"/>
      <c r="O42" s="5"/>
      <c r="P42" s="5"/>
      <c r="Q42" s="4"/>
      <c r="Y42" s="5"/>
      <c r="Z42" s="5"/>
      <c r="AA42" s="5"/>
      <c r="AB42" s="5"/>
      <c r="AC42" s="4"/>
      <c r="AD42" s="5">
        <v>4.4000000000000004</v>
      </c>
      <c r="AE42" s="5">
        <v>4.4000000000000004</v>
      </c>
      <c r="AF42" s="5">
        <f t="shared" si="40"/>
        <v>0</v>
      </c>
      <c r="AG42" s="4"/>
      <c r="AH42" s="15">
        <v>2.2999999999999998</v>
      </c>
      <c r="AI42" s="15">
        <v>2.4</v>
      </c>
      <c r="AJ42" s="15">
        <f t="shared" si="41"/>
        <v>-0.10000000000000009</v>
      </c>
      <c r="AK42" s="5"/>
      <c r="AL42" s="16">
        <v>0</v>
      </c>
      <c r="AM42" s="16">
        <v>2</v>
      </c>
      <c r="AN42" s="16">
        <f t="shared" si="42"/>
        <v>-2</v>
      </c>
      <c r="AO42" s="5"/>
      <c r="AP42" s="17">
        <v>0.6</v>
      </c>
      <c r="AQ42" s="17">
        <v>2</v>
      </c>
      <c r="AR42" s="17">
        <f t="shared" si="43"/>
        <v>-1.4</v>
      </c>
      <c r="AS42" s="5"/>
      <c r="AW42" s="5"/>
      <c r="BA42" s="5"/>
      <c r="BB42" s="6">
        <f>AVERAGE(AJ42,AN42,AR42,AF42)</f>
        <v>-0.875</v>
      </c>
      <c r="BC42" s="6">
        <f t="shared" si="44"/>
        <v>0.875</v>
      </c>
      <c r="BD42" s="6">
        <f>SQRT((SUM((AN42^2),(AR42^2),(AF42^2),(AJ42^2))/COUNT(AN42,AR42,AF42,AJ42)))</f>
        <v>1.2216791722870617</v>
      </c>
      <c r="BE42" s="12" t="s">
        <v>152</v>
      </c>
    </row>
    <row r="43" spans="1:57" customFormat="1" ht="14.45" customHeight="1" x14ac:dyDescent="0.25">
      <c r="A43" s="66" t="s">
        <v>23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1"/>
      <c r="BB43" s="120"/>
      <c r="BC43" s="120"/>
      <c r="BD43" s="120"/>
      <c r="BE43" s="11"/>
    </row>
    <row r="44" spans="1:57" customFormat="1" x14ac:dyDescent="0.25">
      <c r="A44" s="4" t="s">
        <v>0</v>
      </c>
      <c r="B44" s="21"/>
      <c r="C44" s="21"/>
      <c r="D44" s="21"/>
      <c r="E44" s="4"/>
      <c r="F44" s="21"/>
      <c r="G44" s="21"/>
      <c r="H44" s="21"/>
      <c r="I44" s="4"/>
      <c r="M44" s="4"/>
      <c r="N44" s="21"/>
      <c r="O44" s="21"/>
      <c r="P44" s="21"/>
      <c r="Q44" s="4"/>
      <c r="R44" s="21"/>
      <c r="S44" s="21"/>
      <c r="T44" s="21"/>
      <c r="U44" s="4"/>
      <c r="Y44" s="4"/>
      <c r="Z44" s="21"/>
      <c r="AA44" s="21"/>
      <c r="AB44" s="21"/>
      <c r="AC44" s="4"/>
      <c r="AD44" s="21"/>
      <c r="AE44" s="21"/>
      <c r="AF44" s="21"/>
      <c r="AG44" s="4"/>
      <c r="AH44" s="5">
        <v>8.6999999999999993</v>
      </c>
      <c r="AI44" s="5">
        <v>6.7</v>
      </c>
      <c r="AJ44" s="5">
        <f>AH44-AI44</f>
        <v>1.9999999999999991</v>
      </c>
      <c r="AK44" s="4"/>
      <c r="AL44" s="15">
        <v>5.3</v>
      </c>
      <c r="AM44" s="15">
        <v>5.8</v>
      </c>
      <c r="AN44" s="15">
        <f>AL44-AM44</f>
        <v>-0.5</v>
      </c>
      <c r="AO44" s="5"/>
      <c r="AP44" s="16">
        <v>3.6</v>
      </c>
      <c r="AQ44" s="16">
        <v>6.1</v>
      </c>
      <c r="AR44" s="16">
        <f>AP44-AQ44</f>
        <v>-2.4999999999999996</v>
      </c>
      <c r="AS44" s="5"/>
      <c r="AT44" s="17">
        <v>3.4</v>
      </c>
      <c r="AU44" s="17">
        <v>6.1</v>
      </c>
      <c r="AV44" s="17">
        <f>AT44-AU44</f>
        <v>-2.6999999999999997</v>
      </c>
      <c r="AW44" s="5"/>
      <c r="BA44" s="5"/>
      <c r="BB44" s="6">
        <f>AVERAGE(AJ44,AN44,AR44,AV44)</f>
        <v>-0.92500000000000004</v>
      </c>
      <c r="BC44" s="6">
        <f>AVERAGE(ABS(AJ44),ABS(AN44),ABS(AR44),ABS(AV44))</f>
        <v>1.9249999999999994</v>
      </c>
      <c r="BD44" s="6">
        <f>SQRT((SUM((AN44^2),(AR44^2),(AV44^2),(AJ44^2))/COUNT(AN44,AR44,AV44,AJ44)))</f>
        <v>2.1089096708963138</v>
      </c>
      <c r="BE44" s="12" t="s">
        <v>152</v>
      </c>
    </row>
    <row r="45" spans="1:57" customFormat="1" x14ac:dyDescent="0.25">
      <c r="A45" s="4" t="s">
        <v>15</v>
      </c>
      <c r="B45" s="21"/>
      <c r="C45" s="21"/>
      <c r="D45" s="21"/>
      <c r="E45" s="4"/>
      <c r="F45" s="21"/>
      <c r="G45" s="21"/>
      <c r="H45" s="21"/>
      <c r="I45" s="4"/>
      <c r="M45" s="4"/>
      <c r="N45" s="21"/>
      <c r="O45" s="21"/>
      <c r="P45" s="21"/>
      <c r="Q45" s="4"/>
      <c r="R45" s="21"/>
      <c r="S45" s="21"/>
      <c r="T45" s="21"/>
      <c r="U45" s="4"/>
      <c r="Y45" s="4"/>
      <c r="Z45" s="21"/>
      <c r="AA45" s="21"/>
      <c r="AB45" s="21"/>
      <c r="AC45" s="4"/>
      <c r="AD45" s="21"/>
      <c r="AE45" s="21"/>
      <c r="AF45" s="21"/>
      <c r="AG45" s="4"/>
      <c r="AH45" s="5">
        <v>5.6</v>
      </c>
      <c r="AI45" s="5">
        <v>4</v>
      </c>
      <c r="AJ45" s="5">
        <f t="shared" ref="AJ45:AJ47" si="45">AH45-AI45</f>
        <v>1.5999999999999996</v>
      </c>
      <c r="AK45" s="4"/>
      <c r="AL45" s="15">
        <v>4.2</v>
      </c>
      <c r="AM45" s="15">
        <v>3.7</v>
      </c>
      <c r="AN45" s="15">
        <f t="shared" ref="AN45:AN47" si="46">AL45-AM45</f>
        <v>0.5</v>
      </c>
      <c r="AO45" s="5"/>
      <c r="AP45" s="16">
        <v>2.4</v>
      </c>
      <c r="AQ45" s="16">
        <v>4</v>
      </c>
      <c r="AR45" s="16">
        <f t="shared" ref="AR45:AR47" si="47">AP45-AQ45</f>
        <v>-1.6</v>
      </c>
      <c r="AS45" s="5"/>
      <c r="AT45" s="17">
        <v>2.7</v>
      </c>
      <c r="AU45" s="17">
        <v>4</v>
      </c>
      <c r="AV45" s="17">
        <f t="shared" ref="AV45:AV47" si="48">AT45-AU45</f>
        <v>-1.2999999999999998</v>
      </c>
      <c r="AW45" s="5"/>
      <c r="BA45" s="5"/>
      <c r="BB45" s="6">
        <f>AVERAGE(AJ45,AN45,AR45,AV45)</f>
        <v>-0.20000000000000007</v>
      </c>
      <c r="BC45" s="6">
        <f t="shared" ref="BC45:BC47" si="49">AVERAGE(ABS(AJ45),ABS(AN45),ABS(AR45),ABS(AV45))</f>
        <v>1.25</v>
      </c>
      <c r="BD45" s="6">
        <f>SQRT((SUM((AN45^2),(AR45^2),(AV45^2),(AJ45^2))/COUNT(AN45,AR45,AV45,AJ45)))</f>
        <v>1.3285330255586421</v>
      </c>
      <c r="BE45" s="12" t="s">
        <v>152</v>
      </c>
    </row>
    <row r="46" spans="1:57" customFormat="1" x14ac:dyDescent="0.25">
      <c r="A46" s="4" t="s">
        <v>1</v>
      </c>
      <c r="B46" s="21"/>
      <c r="C46" s="21"/>
      <c r="D46" s="21"/>
      <c r="E46" s="4"/>
      <c r="F46" s="21"/>
      <c r="G46" s="21"/>
      <c r="H46" s="21"/>
      <c r="I46" s="4"/>
      <c r="M46" s="4"/>
      <c r="N46" s="21"/>
      <c r="O46" s="21"/>
      <c r="P46" s="21"/>
      <c r="Q46" s="4"/>
      <c r="R46" s="21"/>
      <c r="S46" s="21"/>
      <c r="T46" s="21"/>
      <c r="U46" s="4"/>
      <c r="Y46" s="4"/>
      <c r="Z46" s="21"/>
      <c r="AA46" s="21"/>
      <c r="AB46" s="21"/>
      <c r="AC46" s="4"/>
      <c r="AD46" s="21"/>
      <c r="AE46" s="21"/>
      <c r="AF46" s="21"/>
      <c r="AG46" s="4"/>
      <c r="AH46" s="5">
        <v>3</v>
      </c>
      <c r="AI46" s="5">
        <v>2.6</v>
      </c>
      <c r="AJ46" s="5">
        <f t="shared" si="45"/>
        <v>0.39999999999999991</v>
      </c>
      <c r="AK46" s="4"/>
      <c r="AL46" s="15">
        <v>1.1000000000000001</v>
      </c>
      <c r="AM46" s="15">
        <v>2</v>
      </c>
      <c r="AN46" s="15">
        <f t="shared" si="46"/>
        <v>-0.89999999999999991</v>
      </c>
      <c r="AO46" s="5"/>
      <c r="AP46" s="16">
        <v>1.2</v>
      </c>
      <c r="AQ46" s="16">
        <v>2</v>
      </c>
      <c r="AR46" s="16">
        <f t="shared" si="47"/>
        <v>-0.8</v>
      </c>
      <c r="AS46" s="5"/>
      <c r="AT46" s="17">
        <v>0.6</v>
      </c>
      <c r="AU46" s="17">
        <v>2</v>
      </c>
      <c r="AV46" s="17">
        <f t="shared" si="48"/>
        <v>-1.4</v>
      </c>
      <c r="AW46" s="5"/>
      <c r="BA46" s="5"/>
      <c r="BB46" s="6">
        <f>AVERAGE(AJ46,AN46,AR46,AV46)</f>
        <v>-0.67500000000000004</v>
      </c>
      <c r="BC46" s="6">
        <f t="shared" si="49"/>
        <v>0.87499999999999989</v>
      </c>
      <c r="BD46" s="6">
        <f>SQRT((SUM((AN46^2),(AR46^2),(AV46^2),(AJ46^2))/COUNT(AN46,AR46,AV46,AJ46)))</f>
        <v>0.9447221813845591</v>
      </c>
      <c r="BE46" s="12" t="s">
        <v>152</v>
      </c>
    </row>
    <row r="47" spans="1:57" customFormat="1" x14ac:dyDescent="0.25">
      <c r="A47" s="4" t="s">
        <v>16</v>
      </c>
      <c r="B47" s="21"/>
      <c r="C47" s="21"/>
      <c r="D47" s="21"/>
      <c r="E47" s="4"/>
      <c r="F47" s="21"/>
      <c r="G47" s="21"/>
      <c r="H47" s="21"/>
      <c r="I47" s="4"/>
      <c r="M47" s="4"/>
      <c r="N47" s="21"/>
      <c r="O47" s="21"/>
      <c r="P47" s="21"/>
      <c r="Q47" s="4"/>
      <c r="R47" s="21"/>
      <c r="S47" s="21"/>
      <c r="T47" s="21"/>
      <c r="U47" s="4"/>
      <c r="Y47" s="4"/>
      <c r="Z47" s="21"/>
      <c r="AA47" s="21"/>
      <c r="AB47" s="21"/>
      <c r="AC47" s="4"/>
      <c r="AD47" s="21"/>
      <c r="AE47" s="21"/>
      <c r="AF47" s="21"/>
      <c r="AG47" s="4"/>
      <c r="AH47" s="5">
        <v>2.2999999999999998</v>
      </c>
      <c r="AI47" s="5">
        <v>2.2999999999999998</v>
      </c>
      <c r="AJ47" s="5">
        <f t="shared" si="45"/>
        <v>0</v>
      </c>
      <c r="AK47" s="4"/>
      <c r="AL47" s="15">
        <v>0</v>
      </c>
      <c r="AM47" s="15">
        <v>2</v>
      </c>
      <c r="AN47" s="15">
        <f t="shared" si="46"/>
        <v>-2</v>
      </c>
      <c r="AO47" s="5"/>
      <c r="AP47" s="16">
        <v>0.6</v>
      </c>
      <c r="AQ47" s="16">
        <v>2</v>
      </c>
      <c r="AR47" s="16">
        <f t="shared" si="47"/>
        <v>-1.4</v>
      </c>
      <c r="AS47" s="5"/>
      <c r="AT47" s="17">
        <v>0.2</v>
      </c>
      <c r="AU47" s="17">
        <v>2</v>
      </c>
      <c r="AV47" s="17">
        <f t="shared" si="48"/>
        <v>-1.8</v>
      </c>
      <c r="AW47" s="5"/>
      <c r="BA47" s="5"/>
      <c r="BB47" s="6">
        <f>AVERAGE(AJ47,AN47,AR47,AV47)</f>
        <v>-1.3</v>
      </c>
      <c r="BC47" s="6">
        <f t="shared" si="49"/>
        <v>1.3</v>
      </c>
      <c r="BD47" s="6">
        <f>SQRT((SUM((AN47^2),(AR47^2),(AV47^2),(AJ47^2))/COUNT(AN47,AR47,AV47,AJ47)))</f>
        <v>1.51657508881031</v>
      </c>
      <c r="BE47" s="12" t="s">
        <v>152</v>
      </c>
    </row>
    <row r="48" spans="1:57" customFormat="1" ht="14.45" customHeight="1" x14ac:dyDescent="0.25">
      <c r="A48" s="66" t="s">
        <v>17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1"/>
      <c r="BB48" s="120"/>
      <c r="BC48" s="120"/>
      <c r="BD48" s="120"/>
      <c r="BE48" s="11"/>
    </row>
    <row r="49" spans="1:57" customFormat="1" x14ac:dyDescent="0.25">
      <c r="A49" s="4" t="s">
        <v>0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5">
        <v>5.3</v>
      </c>
      <c r="AM49" s="5">
        <v>5.2</v>
      </c>
      <c r="AN49" s="5">
        <f>AL49-AM49</f>
        <v>9.9999999999999645E-2</v>
      </c>
      <c r="AO49" s="5"/>
      <c r="AP49" s="15">
        <v>3.6</v>
      </c>
      <c r="AQ49" s="15">
        <v>6.6</v>
      </c>
      <c r="AR49" s="15">
        <f>AP49-AQ49</f>
        <v>-2.9999999999999996</v>
      </c>
      <c r="AS49" s="5"/>
      <c r="AT49" s="16">
        <v>3.4</v>
      </c>
      <c r="AU49" s="16">
        <v>6.6</v>
      </c>
      <c r="AV49" s="16">
        <f>AT49-AU49</f>
        <v>-3.1999999999999997</v>
      </c>
      <c r="AW49" s="5"/>
      <c r="AX49" s="17">
        <v>2.7</v>
      </c>
      <c r="AY49" s="17">
        <v>6.6</v>
      </c>
      <c r="AZ49" s="17">
        <f>AX49-AY49</f>
        <v>-3.8999999999999995</v>
      </c>
      <c r="BA49" s="5"/>
      <c r="BB49" s="6">
        <f>AVERAGE(AN49,AR49,AV49,AZ49)</f>
        <v>-2.5</v>
      </c>
      <c r="BC49" s="6">
        <f>AVERAGE(ABS(AN49),ABS(AR49),ABS(AV49),ABS(AZ49))</f>
        <v>2.5499999999999998</v>
      </c>
      <c r="BD49" s="6">
        <f>SQRT((SUM((AN49^2),(AR49^2),(AV49^2),(AZ49^2))/COUNT(AN49,AR49,AV49,AZ49)))</f>
        <v>2.9351320242878338</v>
      </c>
      <c r="BE49" s="12" t="s">
        <v>152</v>
      </c>
    </row>
    <row r="50" spans="1:57" customFormat="1" x14ac:dyDescent="0.25">
      <c r="A50" s="4" t="s">
        <v>15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5">
        <v>4.2</v>
      </c>
      <c r="AM50" s="5">
        <v>4.2</v>
      </c>
      <c r="AN50" s="5">
        <f>AL50-AM50</f>
        <v>0</v>
      </c>
      <c r="AO50" s="5"/>
      <c r="AP50" s="15">
        <v>2.4</v>
      </c>
      <c r="AQ50" s="15">
        <v>4.2</v>
      </c>
      <c r="AR50" s="15">
        <f>AP50-AQ50</f>
        <v>-1.8000000000000003</v>
      </c>
      <c r="AS50" s="5"/>
      <c r="AT50" s="16">
        <v>2.7</v>
      </c>
      <c r="AU50" s="16">
        <v>4</v>
      </c>
      <c r="AV50" s="16">
        <f>AT50-AU50</f>
        <v>-1.2999999999999998</v>
      </c>
      <c r="AW50" s="5"/>
      <c r="AX50" s="17">
        <v>2</v>
      </c>
      <c r="AY50" s="17">
        <v>4</v>
      </c>
      <c r="AZ50" s="17">
        <f>AX50-AY50</f>
        <v>-2</v>
      </c>
      <c r="BA50" s="5"/>
      <c r="BB50" s="6">
        <f>AVERAGE(AN50,AR50,AV50,AZ50)</f>
        <v>-1.2749999999999999</v>
      </c>
      <c r="BC50" s="6">
        <f t="shared" ref="BC50:BC52" si="50">AVERAGE(ABS(AN50),ABS(AR50),ABS(AV50),ABS(AZ50))</f>
        <v>1.2749999999999999</v>
      </c>
      <c r="BD50" s="6">
        <f>SQRT((SUM((AN50^2),(AR50^2),(AV50^2),(AZ50^2))/COUNT(AN50,AR50,AV50,AZ50)))</f>
        <v>1.4941552797483935</v>
      </c>
      <c r="BE50" s="12" t="s">
        <v>152</v>
      </c>
    </row>
    <row r="51" spans="1:57" customFormat="1" x14ac:dyDescent="0.25">
      <c r="A51" s="4" t="s">
        <v>1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5">
        <v>1.1000000000000001</v>
      </c>
      <c r="AM51" s="5">
        <v>1</v>
      </c>
      <c r="AN51" s="5">
        <f>AL51-AM51</f>
        <v>0.10000000000000009</v>
      </c>
      <c r="AO51" s="5"/>
      <c r="AP51" s="15">
        <v>1.2</v>
      </c>
      <c r="AQ51" s="15">
        <v>2.2999999999999998</v>
      </c>
      <c r="AR51" s="15">
        <f>AP51-AQ51</f>
        <v>-1.0999999999999999</v>
      </c>
      <c r="AS51" s="5"/>
      <c r="AT51" s="16">
        <v>0.6</v>
      </c>
      <c r="AU51" s="16">
        <v>2.5</v>
      </c>
      <c r="AV51" s="16">
        <f>AT51-AU51</f>
        <v>-1.9</v>
      </c>
      <c r="AW51" s="5"/>
      <c r="AX51" s="17">
        <v>0.7</v>
      </c>
      <c r="AY51" s="17">
        <v>2.5</v>
      </c>
      <c r="AZ51" s="17">
        <f>AX51-AY51</f>
        <v>-1.8</v>
      </c>
      <c r="BA51" s="5"/>
      <c r="BB51" s="6">
        <f>AVERAGE(AN51,AR51,AV51,AZ51)</f>
        <v>-1.1749999999999998</v>
      </c>
      <c r="BC51" s="6">
        <f t="shared" si="50"/>
        <v>1.2249999999999999</v>
      </c>
      <c r="BD51" s="6">
        <f>SQRT((SUM((AN51^2),(AR51^2),(AV51^2),(AZ51^2))/COUNT(AN51,AR51,AV51,AZ51)))</f>
        <v>1.4203872711341792</v>
      </c>
      <c r="BE51" s="12" t="s">
        <v>152</v>
      </c>
    </row>
    <row r="52" spans="1:57" customFormat="1" x14ac:dyDescent="0.25">
      <c r="A52" s="4" t="s">
        <v>16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5">
        <v>0</v>
      </c>
      <c r="AM52" s="5">
        <v>0.4</v>
      </c>
      <c r="AN52" s="5">
        <f>AL52-AM52</f>
        <v>-0.4</v>
      </c>
      <c r="AO52" s="5"/>
      <c r="AP52" s="15">
        <v>0.6</v>
      </c>
      <c r="AQ52" s="15">
        <v>2.2999999999999998</v>
      </c>
      <c r="AR52" s="15">
        <f>AP52-AQ52</f>
        <v>-1.6999999999999997</v>
      </c>
      <c r="AS52" s="5"/>
      <c r="AT52" s="16">
        <v>0.2</v>
      </c>
      <c r="AU52" s="16">
        <v>2.5</v>
      </c>
      <c r="AV52" s="16">
        <f>AT52-AU52</f>
        <v>-2.2999999999999998</v>
      </c>
      <c r="AW52" s="5"/>
      <c r="AX52" s="17">
        <v>0.1</v>
      </c>
      <c r="AY52" s="17">
        <v>2.5</v>
      </c>
      <c r="AZ52" s="17">
        <f>AX52-AY52</f>
        <v>-2.4</v>
      </c>
      <c r="BA52" s="5"/>
      <c r="BB52" s="6">
        <f>AVERAGE(AN52,AR52,AV52,AZ52)</f>
        <v>-1.6999999999999997</v>
      </c>
      <c r="BC52" s="6">
        <f t="shared" si="50"/>
        <v>1.6999999999999997</v>
      </c>
      <c r="BD52" s="6">
        <f>SQRT((SUM((AN52^2),(AR52^2),(AV52^2),(AZ52^2))/COUNT(AN52,AR52,AV52,AZ52)))</f>
        <v>1.8774983355518586</v>
      </c>
      <c r="BE52" s="12" t="s">
        <v>152</v>
      </c>
    </row>
    <row r="53" spans="1:57" customFormat="1" ht="14.45" customHeight="1" x14ac:dyDescent="0.25">
      <c r="A53" s="66" t="s">
        <v>18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104"/>
      <c r="AY53" s="66"/>
      <c r="AZ53" s="66"/>
      <c r="BA53" s="1"/>
      <c r="BB53" s="120"/>
      <c r="BC53" s="120"/>
      <c r="BD53" s="120"/>
      <c r="BE53" s="11"/>
    </row>
    <row r="54" spans="1:57" customFormat="1" x14ac:dyDescent="0.25">
      <c r="A54" s="4" t="s">
        <v>0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11"/>
      <c r="AM54" s="11"/>
      <c r="AN54" s="11"/>
      <c r="AO54" s="11"/>
      <c r="AP54" s="5">
        <v>3.6</v>
      </c>
      <c r="AQ54" s="5">
        <v>3.8</v>
      </c>
      <c r="AR54" s="5">
        <f t="shared" ref="AR54:AR57" si="51">AP54-AQ54</f>
        <v>-0.19999999999999973</v>
      </c>
      <c r="AS54" s="5"/>
      <c r="AT54" s="15">
        <v>3.4</v>
      </c>
      <c r="AU54" s="15">
        <v>5.2</v>
      </c>
      <c r="AV54" s="15">
        <f t="shared" ref="AV54:AV57" si="52">AT54-AU54</f>
        <v>-1.8000000000000003</v>
      </c>
      <c r="AW54" s="5"/>
      <c r="AX54" s="16">
        <v>2.7</v>
      </c>
      <c r="AY54" s="16">
        <v>5.9</v>
      </c>
      <c r="AZ54" s="16">
        <f t="shared" ref="AZ54:AZ57" si="53">AX54-AY54</f>
        <v>-3.2</v>
      </c>
      <c r="BA54" s="18"/>
      <c r="BB54" s="6">
        <f>AVERAGE(AR54,AV54,AZ54)</f>
        <v>-1.7333333333333334</v>
      </c>
      <c r="BC54" s="6">
        <f>AVERAGE(ABS(AR54),ABS(AV54),ABS(AZ54))</f>
        <v>1.7333333333333334</v>
      </c>
      <c r="BD54" s="6">
        <f>SQRT((SUM((AR54^2),(AV54^2),(AZ54^2))/COUNT(AR54,AV54,AZ54)))</f>
        <v>2.122891110412088</v>
      </c>
      <c r="BE54" s="12" t="s">
        <v>152</v>
      </c>
    </row>
    <row r="55" spans="1:57" customFormat="1" x14ac:dyDescent="0.25">
      <c r="A55" s="4" t="s">
        <v>15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11"/>
      <c r="AM55" s="11"/>
      <c r="AN55" s="11"/>
      <c r="AO55" s="11"/>
      <c r="AP55" s="5">
        <v>2.4</v>
      </c>
      <c r="AQ55" s="5">
        <v>2.9</v>
      </c>
      <c r="AR55" s="5">
        <f>AP55-AQ55</f>
        <v>-0.5</v>
      </c>
      <c r="AS55" s="5"/>
      <c r="AT55" s="15">
        <v>2.7</v>
      </c>
      <c r="AU55" s="15">
        <v>2.8</v>
      </c>
      <c r="AV55" s="15">
        <f>AT55-AU55</f>
        <v>-9.9999999999999645E-2</v>
      </c>
      <c r="AW55" s="5"/>
      <c r="AX55" s="16">
        <v>2</v>
      </c>
      <c r="AY55" s="16">
        <v>3.3</v>
      </c>
      <c r="AZ55" s="16">
        <f>AX55-AY55</f>
        <v>-1.2999999999999998</v>
      </c>
      <c r="BA55" s="18"/>
      <c r="BB55" s="6">
        <f>AVERAGE(AR55,AV55,AZ55)</f>
        <v>-0.63333333333333319</v>
      </c>
      <c r="BC55" s="6">
        <f t="shared" ref="BC55:BC57" si="54">AVERAGE(ABS(AR55),ABS(AV55),ABS(AZ55))</f>
        <v>0.63333333333333319</v>
      </c>
      <c r="BD55" s="6">
        <f>SQRT((SUM((AR55^2),(AV55^2),(AZ55^2))/COUNT(AR55,AV55,AZ55)))</f>
        <v>0.8062257748298548</v>
      </c>
      <c r="BE55" s="12" t="s">
        <v>152</v>
      </c>
    </row>
    <row r="56" spans="1:57" customFormat="1" x14ac:dyDescent="0.25">
      <c r="A56" s="4" t="s">
        <v>1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11"/>
      <c r="AM56" s="11"/>
      <c r="AN56" s="11"/>
      <c r="AO56" s="11"/>
      <c r="AP56" s="5">
        <v>1.2</v>
      </c>
      <c r="AQ56" s="5">
        <v>0.9</v>
      </c>
      <c r="AR56" s="5">
        <f>AP56-AQ56</f>
        <v>0.29999999999999993</v>
      </c>
      <c r="AS56" s="5"/>
      <c r="AT56" s="15">
        <v>0.6</v>
      </c>
      <c r="AU56" s="15">
        <v>2.4</v>
      </c>
      <c r="AV56" s="15">
        <f>AT56-AU56</f>
        <v>-1.7999999999999998</v>
      </c>
      <c r="AW56" s="5"/>
      <c r="AX56" s="16">
        <v>0.7</v>
      </c>
      <c r="AY56" s="16">
        <v>2.5</v>
      </c>
      <c r="AZ56" s="16">
        <f>AX56-AY56</f>
        <v>-1.8</v>
      </c>
      <c r="BA56" s="18"/>
      <c r="BB56" s="6">
        <f>AVERAGE(AR56,AV56,AZ56)</f>
        <v>-1.0999999999999999</v>
      </c>
      <c r="BC56" s="6">
        <f t="shared" si="54"/>
        <v>1.2999999999999998</v>
      </c>
      <c r="BD56" s="6">
        <f>SQRT((SUM((AR56^2),(AV56^2),(AZ56^2))/COUNT(AR56,AV56,AZ56)))</f>
        <v>1.4798648586948742</v>
      </c>
      <c r="BE56" s="12" t="s">
        <v>152</v>
      </c>
    </row>
    <row r="57" spans="1:57" customFormat="1" x14ac:dyDescent="0.25">
      <c r="A57" s="4" t="s">
        <v>16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11"/>
      <c r="AM57" s="11"/>
      <c r="AN57" s="11"/>
      <c r="AO57" s="11"/>
      <c r="AP57" s="5">
        <v>0.6</v>
      </c>
      <c r="AQ57" s="5">
        <v>0.8</v>
      </c>
      <c r="AR57" s="5">
        <f t="shared" si="51"/>
        <v>-0.20000000000000007</v>
      </c>
      <c r="AS57" s="5"/>
      <c r="AT57" s="15">
        <v>0.2</v>
      </c>
      <c r="AU57" s="15">
        <v>2.4</v>
      </c>
      <c r="AV57" s="15">
        <f t="shared" si="52"/>
        <v>-2.1999999999999997</v>
      </c>
      <c r="AW57" s="5"/>
      <c r="AX57" s="16">
        <v>0.1</v>
      </c>
      <c r="AY57" s="16">
        <v>2.5</v>
      </c>
      <c r="AZ57" s="16">
        <f t="shared" si="53"/>
        <v>-2.4</v>
      </c>
      <c r="BA57" s="18"/>
      <c r="BB57" s="6">
        <f>AVERAGE(AR57,AV57,AZ57)</f>
        <v>-1.5999999999999999</v>
      </c>
      <c r="BC57" s="6">
        <f t="shared" si="54"/>
        <v>1.5999999999999999</v>
      </c>
      <c r="BD57" s="6">
        <f>SQRT((SUM((AR57^2),(AV57^2),(AZ57^2))/COUNT(AR57,AV57,AZ57)))</f>
        <v>1.8832595855767378</v>
      </c>
      <c r="BE57" s="12" t="s">
        <v>152</v>
      </c>
    </row>
    <row r="58" spans="1:57" customFormat="1" ht="14.45" customHeight="1" x14ac:dyDescent="0.25">
      <c r="A58" s="66" t="s">
        <v>19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104"/>
      <c r="AY58" s="66"/>
      <c r="AZ58" s="66"/>
      <c r="BA58" s="1"/>
      <c r="BB58" s="120"/>
      <c r="BC58" s="120"/>
      <c r="BD58" s="120"/>
      <c r="BE58" s="11"/>
    </row>
    <row r="59" spans="1:57" customFormat="1" x14ac:dyDescent="0.25">
      <c r="A59" s="4" t="s">
        <v>0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11"/>
      <c r="AM59" s="11"/>
      <c r="AN59" s="11"/>
      <c r="AO59" s="11"/>
      <c r="AP59" s="11"/>
      <c r="AQ59" s="11"/>
      <c r="AR59" s="11"/>
      <c r="AS59" s="11"/>
      <c r="AT59" s="5">
        <v>3.4</v>
      </c>
      <c r="AU59" s="5">
        <v>3.2</v>
      </c>
      <c r="AV59" s="5">
        <f t="shared" ref="AV59:AV62" si="55">AT59-AU59</f>
        <v>0.19999999999999973</v>
      </c>
      <c r="AW59" s="5"/>
      <c r="AX59" s="15">
        <v>2.7</v>
      </c>
      <c r="AY59" s="15">
        <v>5.2</v>
      </c>
      <c r="AZ59" s="15">
        <f t="shared" ref="AZ59:AZ62" si="56">AX59-AY59</f>
        <v>-2.5</v>
      </c>
      <c r="BA59" s="5"/>
      <c r="BB59" s="7">
        <f>AVERAGE(AV59,AZ59)</f>
        <v>-1.1500000000000001</v>
      </c>
      <c r="BC59" s="6">
        <f>AVERAGE(ABS(AV59),ABS(AZ59))</f>
        <v>1.3499999999999999</v>
      </c>
      <c r="BD59" s="6">
        <f>SQRT((SUM((AV59^2),(AZ59^2))/COUNT(AV59,AZ59)))</f>
        <v>1.7734147850968198</v>
      </c>
      <c r="BE59" s="12" t="s">
        <v>152</v>
      </c>
    </row>
    <row r="60" spans="1:57" customFormat="1" x14ac:dyDescent="0.25">
      <c r="A60" s="4" t="s">
        <v>15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11"/>
      <c r="AM60" s="11"/>
      <c r="AN60" s="11"/>
      <c r="AO60" s="11"/>
      <c r="AP60" s="11"/>
      <c r="AQ60" s="11"/>
      <c r="AR60" s="11"/>
      <c r="AS60" s="11"/>
      <c r="AT60" s="5">
        <v>2.7</v>
      </c>
      <c r="AU60" s="5">
        <v>2.1</v>
      </c>
      <c r="AV60" s="5">
        <f>AT60-AU60</f>
        <v>0.60000000000000009</v>
      </c>
      <c r="AW60" s="5"/>
      <c r="AX60" s="15">
        <v>2</v>
      </c>
      <c r="AY60" s="15">
        <v>3</v>
      </c>
      <c r="AZ60" s="15">
        <f>AX60-AY60</f>
        <v>-1</v>
      </c>
      <c r="BA60" s="5"/>
      <c r="BB60" s="6">
        <f>AVERAGE(AV60,AZ60)</f>
        <v>-0.19999999999999996</v>
      </c>
      <c r="BC60" s="6">
        <f t="shared" ref="BC60:BC62" si="57">AVERAGE(ABS(AV60),ABS(AZ60))</f>
        <v>0.8</v>
      </c>
      <c r="BD60" s="6">
        <f>SQRT((SUM((AV60^2),(AZ60^2))/COUNT(AV60,AZ60)))</f>
        <v>0.82462112512353214</v>
      </c>
      <c r="BE60" s="12" t="s">
        <v>152</v>
      </c>
    </row>
    <row r="61" spans="1:57" customFormat="1" x14ac:dyDescent="0.25">
      <c r="A61" s="4" t="s">
        <v>1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11"/>
      <c r="AM61" s="11"/>
      <c r="AN61" s="11"/>
      <c r="AO61" s="11"/>
      <c r="AP61" s="11"/>
      <c r="AQ61" s="11"/>
      <c r="AR61" s="11"/>
      <c r="AS61" s="11"/>
      <c r="AT61" s="5">
        <v>0.6</v>
      </c>
      <c r="AU61" s="5">
        <v>1.1000000000000001</v>
      </c>
      <c r="AV61" s="5">
        <f>AT61-AU61</f>
        <v>-0.50000000000000011</v>
      </c>
      <c r="AW61" s="5"/>
      <c r="AX61" s="15">
        <v>0.7</v>
      </c>
      <c r="AY61" s="15">
        <v>2.1</v>
      </c>
      <c r="AZ61" s="15">
        <f>AX61-AY61</f>
        <v>-1.4000000000000001</v>
      </c>
      <c r="BA61" s="5"/>
      <c r="BB61" s="6">
        <f>AVERAGE(AV61,AZ61)</f>
        <v>-0.95000000000000018</v>
      </c>
      <c r="BC61" s="6">
        <f t="shared" si="57"/>
        <v>0.95000000000000018</v>
      </c>
      <c r="BD61" s="6">
        <f>SQRT((SUM((AV61^2),(AZ61^2))/COUNT(AV61,AZ61)))</f>
        <v>1.0511898020814321</v>
      </c>
      <c r="BE61" s="12" t="s">
        <v>152</v>
      </c>
    </row>
    <row r="62" spans="1:57" customFormat="1" x14ac:dyDescent="0.25">
      <c r="A62" s="4" t="s">
        <v>16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11"/>
      <c r="AM62" s="11"/>
      <c r="AN62" s="11"/>
      <c r="AO62" s="11"/>
      <c r="AP62" s="11"/>
      <c r="AQ62" s="11"/>
      <c r="AR62" s="11"/>
      <c r="AS62" s="11"/>
      <c r="AT62" s="5">
        <v>0.2</v>
      </c>
      <c r="AU62" s="5">
        <v>0.8</v>
      </c>
      <c r="AV62" s="5">
        <f t="shared" si="55"/>
        <v>-0.60000000000000009</v>
      </c>
      <c r="AW62" s="5"/>
      <c r="AX62" s="15">
        <v>0.1</v>
      </c>
      <c r="AY62" s="15">
        <v>2</v>
      </c>
      <c r="AZ62" s="15">
        <f t="shared" si="56"/>
        <v>-1.9</v>
      </c>
      <c r="BA62" s="5"/>
      <c r="BB62" s="6">
        <f>AVERAGE(AV62,AZ62)</f>
        <v>-1.25</v>
      </c>
      <c r="BC62" s="6">
        <f t="shared" si="57"/>
        <v>1.25</v>
      </c>
      <c r="BD62" s="6">
        <f>SQRT((SUM((AV62^2),(AZ62^2))/COUNT(AV62,AZ62)))</f>
        <v>1.408900280360537</v>
      </c>
      <c r="BE62" s="12" t="s">
        <v>152</v>
      </c>
    </row>
    <row r="63" spans="1:57" customFormat="1" ht="14.45" customHeight="1" x14ac:dyDescent="0.25">
      <c r="A63" s="66" t="s">
        <v>20</v>
      </c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104"/>
      <c r="AY63" s="66"/>
      <c r="AZ63" s="66"/>
      <c r="BA63" s="1"/>
      <c r="BB63" s="120"/>
      <c r="BC63" s="120"/>
      <c r="BD63" s="120"/>
      <c r="BE63" s="11"/>
    </row>
    <row r="64" spans="1:57" customFormat="1" x14ac:dyDescent="0.25">
      <c r="A64" s="4" t="s">
        <v>0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5"/>
      <c r="AW64" s="11"/>
      <c r="AX64" s="5">
        <v>2.7</v>
      </c>
      <c r="AY64" s="5">
        <v>2.8</v>
      </c>
      <c r="AZ64" s="5">
        <f>AX64-AY64</f>
        <v>-9.9999999999999645E-2</v>
      </c>
      <c r="BA64" s="5"/>
      <c r="BB64" s="7">
        <f>AVERAGE(AZ64)</f>
        <v>-9.9999999999999645E-2</v>
      </c>
      <c r="BC64" s="6">
        <f>ABS(AZ64)</f>
        <v>9.9999999999999645E-2</v>
      </c>
      <c r="BD64" s="6">
        <f>SQRT((SUM((AZ64^2))/COUNT(AZ64)))</f>
        <v>9.9999999999999645E-2</v>
      </c>
      <c r="BE64" s="12" t="s">
        <v>152</v>
      </c>
    </row>
    <row r="65" spans="1:57" customFormat="1" x14ac:dyDescent="0.25">
      <c r="A65" s="4" t="s">
        <v>15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11"/>
      <c r="AM65" s="11"/>
      <c r="AN65" s="11"/>
      <c r="AO65" s="8"/>
      <c r="AP65" s="11"/>
      <c r="AQ65" s="11"/>
      <c r="AR65" s="11"/>
      <c r="AS65" s="11"/>
      <c r="AT65" s="11"/>
      <c r="AU65" s="11"/>
      <c r="AV65" s="5"/>
      <c r="AW65" s="11"/>
      <c r="AX65" s="5">
        <v>2</v>
      </c>
      <c r="AY65" s="5">
        <v>2.5</v>
      </c>
      <c r="AZ65" s="5">
        <f>AX65-AY65</f>
        <v>-0.5</v>
      </c>
      <c r="BA65" s="5"/>
      <c r="BB65" s="7">
        <f>AVERAGE(AZ65)</f>
        <v>-0.5</v>
      </c>
      <c r="BC65" s="6">
        <f t="shared" ref="BC65:BC67" si="58">ABS(AZ65)</f>
        <v>0.5</v>
      </c>
      <c r="BD65" s="6">
        <f>SQRT((SUM((AZ65^2))/COUNT(AZ65)))</f>
        <v>0.5</v>
      </c>
      <c r="BE65" s="12" t="s">
        <v>152</v>
      </c>
    </row>
    <row r="66" spans="1:57" customFormat="1" x14ac:dyDescent="0.25">
      <c r="A66" s="4" t="s">
        <v>1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11"/>
      <c r="AM66" s="11"/>
      <c r="AN66" s="11"/>
      <c r="AO66" s="8"/>
      <c r="AP66" s="11"/>
      <c r="AQ66" s="11"/>
      <c r="AR66" s="11"/>
      <c r="AS66" s="11"/>
      <c r="AT66" s="11"/>
      <c r="AU66" s="11"/>
      <c r="AV66" s="5"/>
      <c r="AW66" s="11"/>
      <c r="AX66" s="5">
        <v>0.7</v>
      </c>
      <c r="AY66" s="5">
        <v>0.3</v>
      </c>
      <c r="AZ66" s="5">
        <f>AX66-AY66</f>
        <v>0.39999999999999997</v>
      </c>
      <c r="BA66" s="5"/>
      <c r="BB66" s="7">
        <f>AVERAGE(AZ66)</f>
        <v>0.39999999999999997</v>
      </c>
      <c r="BC66" s="6">
        <f t="shared" si="58"/>
        <v>0.39999999999999997</v>
      </c>
      <c r="BD66" s="6">
        <f>SQRT((SUM((AZ66^2))/COUNT(AZ66)))</f>
        <v>0.39999999999999997</v>
      </c>
      <c r="BE66" s="12" t="s">
        <v>13</v>
      </c>
    </row>
    <row r="67" spans="1:57" customFormat="1" x14ac:dyDescent="0.25">
      <c r="A67" s="4" t="s">
        <v>16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11"/>
      <c r="AM67" s="11"/>
      <c r="AN67" s="11"/>
      <c r="AO67" s="8"/>
      <c r="AP67" s="11"/>
      <c r="AQ67" s="11"/>
      <c r="AR67" s="11"/>
      <c r="AS67" s="11"/>
      <c r="AT67" s="11"/>
      <c r="AU67" s="11"/>
      <c r="AV67" s="5"/>
      <c r="AW67" s="11"/>
      <c r="AX67" s="5">
        <v>0.1</v>
      </c>
      <c r="AY67" s="5">
        <v>0</v>
      </c>
      <c r="AZ67" s="5">
        <f>AX67-AY67</f>
        <v>0.1</v>
      </c>
      <c r="BA67" s="5"/>
      <c r="BB67" s="7">
        <f>AVERAGE(AZ67)</f>
        <v>0.1</v>
      </c>
      <c r="BC67" s="6">
        <f t="shared" si="58"/>
        <v>0.1</v>
      </c>
      <c r="BD67" s="6">
        <f>SQRT((SUM((AZ67^2))/COUNT(AZ67)))</f>
        <v>0.1</v>
      </c>
      <c r="BE67" s="12" t="s">
        <v>13</v>
      </c>
    </row>
    <row r="68" spans="1:57" customFormat="1" ht="14.45" customHeight="1" x14ac:dyDescent="0.2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8"/>
      <c r="BB68" s="122"/>
      <c r="BC68" s="122"/>
      <c r="BD68" s="122"/>
      <c r="BE68" s="11"/>
    </row>
    <row r="69" spans="1:57" s="108" customFormat="1" ht="28.5" customHeight="1" x14ac:dyDescent="0.25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21" t="s">
        <v>32</v>
      </c>
      <c r="AQ69" s="121"/>
      <c r="AR69" s="121"/>
      <c r="AS69" s="105"/>
      <c r="AT69" s="121" t="s">
        <v>161</v>
      </c>
      <c r="AU69" s="121"/>
      <c r="AV69" s="121"/>
      <c r="AW69" s="109"/>
      <c r="AX69" s="121" t="s">
        <v>165</v>
      </c>
      <c r="AY69" s="121"/>
      <c r="AZ69" s="121"/>
      <c r="BA69" s="110"/>
      <c r="BB69" s="121" t="s">
        <v>168</v>
      </c>
      <c r="BC69" s="121"/>
      <c r="BD69" s="121"/>
      <c r="BE69" s="107"/>
    </row>
    <row r="70" spans="1:57" customFormat="1" x14ac:dyDescent="0.25">
      <c r="A70" s="11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70" t="s">
        <v>0</v>
      </c>
      <c r="AM70" s="71"/>
      <c r="AN70" s="69"/>
      <c r="AO70" s="72"/>
      <c r="AP70" s="24">
        <f>AVERAGE(AZ64,AV59,AR54,AN49,AJ44,AF39,AB34,X29,T24,P19,L14,H9,D4)</f>
        <v>1.1846153846153846</v>
      </c>
      <c r="AQ70" s="24">
        <f>AVERAGE(ABS(AZ64),ABS(AV59),ABS(AR54),ABS(AN49),ABS(AJ44),ABS(AF39),ABS(AB34),ABS(X29),ABS(T24),ABS(P19),ABS(L14),ABS(H9),ABS(D4))</f>
        <v>2.0615384615384618</v>
      </c>
      <c r="AR70" s="24">
        <f>SQRT(SUM((AZ64^2),(AV59^2),(AR54^2),(AN49^2),(AJ44^2),(AF39^2),(AB34^2),(X29^2),(T24^2),(P19^2),(L14^2),(H9^2),(D4^2))/COUNT((AZ64),(AV59),(AR54),(AN49),(AJ44),(AF39),(AB34),(X29),(T24),(P19),(L14),(H9),(D4)))</f>
        <v>2.821074536140713</v>
      </c>
      <c r="AS70" s="11"/>
      <c r="AT70" s="24">
        <f>AVERAGE(AZ59,AV54,AR49,AN44,AJ39,AF34,AB29,X24,T19,P14,L9,H4)</f>
        <v>0.28333333333333305</v>
      </c>
      <c r="AU70" s="24">
        <f>AVERAGE(ABS(AZ59),ABS(AV54),ABS(AR49),ABS(AN44),ABS(AJ39),ABS(AF34),ABS(AB29),ABS(X24),ABS(T19),ABS(P14),ABS(L9),ABS(H4))</f>
        <v>7.5666666666666664</v>
      </c>
      <c r="AV70" s="24">
        <f>SQRT(SUM((AZ59^2),(AV54^2),(AR49^2),(AN44^2),(AJ39^2),(AF34^2),(AB29^2),(X24^2),(T19^2),(P14^2),(L9^2),(H4^2))/COUNT((AZ59),(AV54),(AR49),(AN44),(AJ39),(AF34),(AB29),(X24),(T19),(P14),(L9),(H4)))</f>
        <v>10.61610411905736</v>
      </c>
      <c r="AW70" s="11"/>
      <c r="AX70" s="24">
        <f>AVERAGE(AZ54,AV49,AR44,AN39,AJ34,AF29,AB24,X19,T14,P9,L4)</f>
        <v>-1.4454545454545455</v>
      </c>
      <c r="AY70" s="24">
        <f>AVERAGE(ABS(AZ54),ABS(AV49),ABS(AR44),ABS(AN39),ABS(AJ34),ABS(AF29),ABS(AB24),ABS(X19),ABS(T14),ABS(P9),ABS(L4))</f>
        <v>9.4818181818181824</v>
      </c>
      <c r="AZ70" s="24">
        <f>SQRT(SUM((AZ54^2),(AV49^2),(AR44^2),(AN39^2),(AJ34^2),(AF29^2),(AB24^2),(X19^2),(T14^2),(P9^2),(L4^2))/COUNT((AZ54),(AV49),(AR44),(AN39),(AJ34),(AF29),(AB24),(X19),(T14),(P9),(L4)))</f>
        <v>13.082569944916647</v>
      </c>
      <c r="BA70" s="11"/>
      <c r="BB70" s="24">
        <f>AVERAGE(AZ49,AV44,AR39,AN34,AJ29,AF24,AB19,X14,T9,P4)</f>
        <v>-3.4900000000000007</v>
      </c>
      <c r="BC70" s="24">
        <f>AVERAGE(ABS(AZ49),ABS(AV44),ABS(AR39),ABS(AN34),ABS(AJ29),ABS(AF24),ABS(AB19),ABS(X14),ABS(T9),ABS(P4))</f>
        <v>7.7299999999999995</v>
      </c>
      <c r="BD70" s="24">
        <f>SQRT(SUM((AZ49^2),(AV44^2),(AR39^2),(AN34^2),(AJ29^2),(AF24^2),(AB19^2),(X14^2),(T9^2),(P4^2))/COUNT((AZ49),(AV44),(AR39),(AN34),(AJ29),(AF24),(AB19),(X14),(T9),(P4)))</f>
        <v>12.327976314059011</v>
      </c>
      <c r="BE70" s="11"/>
    </row>
    <row r="71" spans="1:57" customFormat="1" x14ac:dyDescent="0.25">
      <c r="A71" s="11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70" t="s">
        <v>15</v>
      </c>
      <c r="AM71" s="71"/>
      <c r="AN71" s="69"/>
      <c r="AO71" s="72"/>
      <c r="AP71" s="24">
        <f>AVERAGE(AZ65,AV60,AR55,AN50,AJ45,AF40,AB35,X30,T25,P20,L15,H10,D5)</f>
        <v>0.12307692307692318</v>
      </c>
      <c r="AQ71" s="24">
        <f>AVERAGE(ABS(AZ65),ABS(AV60),ABS(AR55),ABS(AN50),ABS(AJ45),ABS(AF40),ABS(AB35),ABS(X30),ABS(T25),ABS(P20),ABS(L15),ABS(H10),ABS(D5))</f>
        <v>1.1846153846153846</v>
      </c>
      <c r="AR71" s="24">
        <f>SQRT(SUM((AZ65^2),(AV60^2),(AR55^2),(AN50^2),(AJ45^2),(AF40^2),(AB35^2),(X30^2),(T25^2),(P20^2),(L15^2),(H10^2),(D5^2))/COUNT((AZ65),(AV60),(AR55),(AN50),(AJ45),(AF40),(AB35),(X30),(T25),(P20),(L15),(H10),(D5)))</f>
        <v>1.9339079605813716</v>
      </c>
      <c r="AS71" s="11"/>
      <c r="AT71" s="24">
        <f>AVERAGE(AZ60,AV55,AR50,AN45,AJ40,AF35,AB30,X25,T20,P15,L10,H5)</f>
        <v>-1.3583333333333332</v>
      </c>
      <c r="AU71" s="24">
        <f>AVERAGE(ABS(AZ60),ABS(AV55),ABS(AR50),ABS(AN45),ABS(AJ40),ABS(AF35),ABS(AB30),ABS(X25),ABS(T20),ABS(P15),ABS(L10),ABS(H5))</f>
        <v>4.4749999999999996</v>
      </c>
      <c r="AV71" s="24">
        <f>SQRT(SUM((AZ60^2),(AV55^2),(AR50^2),(AN45^2),(AJ40^2),(AF35^2),(AB30^2),(X25^2),(T20^2),(P15^2),(L10^2),(H5^2))/COUNT((AZ60),(AV55),(AR50),(AN45),(AJ40),(AF35),(AB30),(X25),(T20),(P15),(L10),(H5)))</f>
        <v>7.1434702117854929</v>
      </c>
      <c r="AW71" s="11"/>
      <c r="AX71" s="24">
        <f>AVERAGE(AZ55,AV50,AR45,AN40,AJ35,AF30,AB25,X20,T15,P10,L5)</f>
        <v>-2.9636363636363638</v>
      </c>
      <c r="AY71" s="24">
        <f>AVERAGE(ABS(AZ55),ABS(AV50),ABS(AR45),ABS(AN40),ABS(AJ35),ABS(AF30),ABS(AB25),ABS(X20),ABS(T15),ABS(P10),ABS(L5))</f>
        <v>5.5090909090909088</v>
      </c>
      <c r="AZ71" s="24">
        <f>SQRT(SUM((AZ55^2),(AV50^2),(AR45^2),(AN40^2),(AJ35^2),(AF30^2),(AB25^2),(X20^2),(T15^2),(P10^2),(L5^2))/COUNT((AZ55),(AV50),(AR45),(AN40),(AJ35),(AF30),(AB25),(X20),(T15),(P10),(L5)))</f>
        <v>8.947015754378155</v>
      </c>
      <c r="BA71" s="11"/>
      <c r="BB71" s="24">
        <f>AVERAGE(AZ50,AV45,AR40,AN35,AJ30,AF25,AB20,X15,T10,P5)</f>
        <v>-4.37</v>
      </c>
      <c r="BC71" s="24">
        <f>AVERAGE(ABS(AZ50),ABS(AV45),ABS(AR40),ABS(AN35),ABS(AJ30),ABS(AF25),ABS(AB20),ABS(X15),ABS(T10),ABS(P5))</f>
        <v>5.55</v>
      </c>
      <c r="BD71" s="24">
        <f>SQRT(SUM((AZ50^2),(AV45^2),(AR40^2),(AN35^2),(AJ30^2),(AF25^2),(AB20^2),(X15^2),(T10^2),(P5^2))/COUNT((AZ50),(AV45),(AR40),(AN35),(AJ30),(AF25),(AB20),(X15),(T10),(P5)))</f>
        <v>9.3198175947815631</v>
      </c>
      <c r="BE71" s="11"/>
    </row>
    <row r="72" spans="1:57" customFormat="1" x14ac:dyDescent="0.25">
      <c r="A72" s="11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70" t="s">
        <v>1</v>
      </c>
      <c r="AM72" s="71"/>
      <c r="AN72" s="69"/>
      <c r="AO72" s="72"/>
      <c r="AP72" s="24">
        <f>AVERAGE(AZ66,AV61,AR56,AN51,AJ46,AF41,AB36,X31,T26,P21,L16,H11,D6)</f>
        <v>1.0076923076923074</v>
      </c>
      <c r="AQ72" s="24">
        <f>AVERAGE(ABS(AZ66),ABS(AV61),ABS(AR56),ABS(AN51),ABS(AJ46),ABS(AF41),ABS(AB36),ABS(X31),ABS(T26),ABS(P21),ABS(L16),ABS(H11),ABS(D6))</f>
        <v>1.0846153846153845</v>
      </c>
      <c r="AR72" s="24">
        <f>SQRT(SUM((AZ66^2),(AV61^2),(AR56^2),(AN51^2),(AJ46^2),(AF41^2),(AB36^2),(X31^2),(T26^2),(P21^2),(L16^2),(H11^2),(D6^2))/COUNT((AZ66),(AV61),(AR56),(AN51),(AJ46),(AF41),(AB36),(X31),(T26),(P21),(L16),(H11),(D6)))</f>
        <v>1.3657908388126696</v>
      </c>
      <c r="AS72" s="11"/>
      <c r="AT72" s="24">
        <f>AVERAGE(AZ61,AV56,AR51,AN46,AJ41,AF36,AB31,X26,T21,P16,L11,H6)</f>
        <v>1.55</v>
      </c>
      <c r="AU72" s="24">
        <f>AVERAGE(ABS(AZ61),ABS(AV56),ABS(AR51),ABS(AN46),ABS(AJ41),ABS(AF36),ABS(AB31),ABS(X26),ABS(T21),ABS(P16),ABS(L11),ABS(H6))</f>
        <v>4.1000000000000005</v>
      </c>
      <c r="AV72" s="24">
        <f>SQRT(SUM((AZ61^2),(AV56^2),(AR51^2),(AN46^2),(AJ41^2),(AF36^2),(AB31^2),(X26^2),(T21^2),(P16^2),(L11^2),(H6^2))/COUNT((AZ61),(AV56),(AR51),(AN46),(AJ41),(AF36),(AB31),(X26),(T21),(P16),(L11),(H6)))</f>
        <v>5.0078272068166783</v>
      </c>
      <c r="AW72" s="11"/>
      <c r="AX72" s="24">
        <f>AVERAGE(AZ56,AV51,AR46,AN41,AJ36,AF31,AB26,X21,T16,P11,L6)</f>
        <v>1.4454545454545453</v>
      </c>
      <c r="AY72" s="24">
        <f>AVERAGE(ABS(AZ56),ABS(AV51),ABS(AR46),ABS(AN41),ABS(AJ36),ABS(AF31),ABS(AB26),ABS(X21),ABS(T16),ABS(P11),ABS(L6))</f>
        <v>5.2818181818181813</v>
      </c>
      <c r="AZ72" s="24">
        <f>SQRT(SUM((AZ56^2),(AV51^2),(AR46^2),(AN41^2),(AJ36^2),(AF31^2),(AB26^2),(X21^2),(T16^2),(P11^2),(L6^2))/COUNT((AZ56),(AV51),(AR46),(AN41),(AJ36),(AF31),(AB26),(X21),(T16),(P11),(L6)))</f>
        <v>6.3634610365457851</v>
      </c>
      <c r="BA72" s="11"/>
      <c r="BB72" s="24">
        <f>AVERAGE(AZ51,AV46,AR41,AN36,AJ31,AF26,AB21,X16,T11,P6)</f>
        <v>0.9</v>
      </c>
      <c r="BC72" s="24">
        <f>AVERAGE(ABS(AZ51),ABS(AV46),ABS(AR41),ABS(AN36),ABS(AJ31),ABS(AF26),ABS(AB21),ABS(X16),ABS(T11),ABS(P6))</f>
        <v>4.42</v>
      </c>
      <c r="BD72" s="24">
        <f>SQRT(SUM((AZ51^2),(AV46^2),(AR41^2),(AN36^2),(AJ31^2),(AF26^2),(AB21^2),(X16^2),(T11^2),(P6^2))/COUNT((AZ51),(AV46),(AR41),(AN36),(AJ31),(AF26),(AB21),(X16),(T11),(P6)))</f>
        <v>6.0773349422259102</v>
      </c>
      <c r="BE72" s="11"/>
    </row>
    <row r="73" spans="1:57" customFormat="1" x14ac:dyDescent="0.25">
      <c r="A73" s="11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70" t="s">
        <v>16</v>
      </c>
      <c r="AM73" s="71"/>
      <c r="AN73" s="69"/>
      <c r="AO73" s="72"/>
      <c r="AP73" s="24">
        <f>AVERAGE(AZ67,AV62,AR57,AN52,AJ47,AF42,AB37,X32,T27,P22,L17,H12,D7)</f>
        <v>-2.3076923076923082E-2</v>
      </c>
      <c r="AQ73" s="24">
        <f>AVERAGE(ABS(AZ67),ABS(AV62),ABS(AR57),ABS(AN52),ABS(AJ47),ABS(AF42),ABS(AB37),ABS(X32),ABS(T27),ABS(P22),ABS(L17),ABS(H12),ABS(D7))</f>
        <v>0.29999999999999982</v>
      </c>
      <c r="AR73" s="24">
        <f>SQRT(SUM((AZ67^2),(AV62^2),(AR57^2),(AN52^2),(AJ47^2),(AF42^2),(AB37^2),(X32^2),(T27^2),(P22^2),(L17^2),(H12^2),(D7^2))/COUNT((AZ67),(AV62),(AR57),(AN52),(AJ47),(AF42),(AB37),(X32),(T27),(P22),(L17),(H12),(D7)))</f>
        <v>0.48118443609333539</v>
      </c>
      <c r="AS73" s="11"/>
      <c r="AT73" s="24">
        <f>AVERAGE(AZ62,AV57,AR52,AN47,AJ42,AF37,AB32,X27,T22,P17,L12,H7)</f>
        <v>0.78333333333333355</v>
      </c>
      <c r="AU73" s="24">
        <f>AVERAGE(ABS(AZ62),ABS(AV57),ABS(AR52),ABS(AN47),ABS(AJ42),ABS(AF37),ABS(AB32),ABS(X27),ABS(T22),ABS(P17),ABS(L12),ABS(H7))</f>
        <v>3.1500000000000004</v>
      </c>
      <c r="AV73" s="24">
        <f>SQRT(SUM((AZ62^2),(AV57^2),(AR52^2),(AN47^2),(AJ42^2),(AF37^2),(AB32^2),(X27^2),(T22^2),(P17^2),(L12^2),(H7^2))/COUNT((AZ62),(AV57),(AR52),(AN47),(AJ42),(AF37),(AB32),(X27),(T22),(P17),(L12),(H7)))</f>
        <v>3.9040577181525724</v>
      </c>
      <c r="AW73" s="11"/>
      <c r="AX73" s="24">
        <f>AVERAGE(AZ57,AV52,AR47,AN42,AJ37,AF32,AB27,X22,T17,P12,L7)</f>
        <v>1.1727272727272728</v>
      </c>
      <c r="AY73" s="24">
        <f>AVERAGE(ABS(AZ57),ABS(AV52),ABS(AR47),ABS(AN42),ABS(AJ37),ABS(AF32),ABS(AB27),ABS(X22),ABS(T17),ABS(P12),ABS(L7))</f>
        <v>4.1363636363636358</v>
      </c>
      <c r="AZ73" s="24">
        <f>SQRT(SUM((AZ57^2),(AV52^2),(AR47^2),(AN42^2),(AJ37^2),(AF32^2),(AB27^2),(X22^2),(T17^2),(P12^2),(L7^2))/COUNT((AZ57),(AV52),(AR47),(AN42),(AJ37),(AF32),(AB27),(X22),(T17),(P12),(L7)))</f>
        <v>5.2463840361286413</v>
      </c>
      <c r="BA73" s="11"/>
      <c r="BB73" s="24">
        <f>AVERAGE(AZ52,AV47,AR42,AN37,AJ32,AF27,AB22,X17,T12,P7)</f>
        <v>0.95</v>
      </c>
      <c r="BC73" s="24">
        <f>AVERAGE(ABS(AZ52),ABS(AV47),ABS(AR42),ABS(AN37),ABS(AJ32),ABS(AF27),ABS(AB22),ABS(X17),ABS(T12),ABS(P7))</f>
        <v>3.5100000000000002</v>
      </c>
      <c r="BD73" s="24">
        <f>SQRT(SUM((AZ52^2),(AV47^2),(AR42^2),(AN37^2),(AJ32^2),(AF27^2),(AB22^2),(X17^2),(T12^2),(P7^2))/COUNT((AZ52),(AV47),(AR42),(AN37),(AJ32),(AF27),(AB22),(X17),(T12),(P7)))</f>
        <v>5.0597430764812552</v>
      </c>
      <c r="BE73" s="11"/>
    </row>
    <row r="74" spans="1:57" customFormat="1" ht="14.45" customHeight="1" x14ac:dyDescent="0.25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8"/>
      <c r="BB74" s="122"/>
      <c r="BC74" s="122"/>
      <c r="BD74" s="122"/>
      <c r="BE74" s="11"/>
    </row>
    <row r="75" spans="1:57" customFormat="1" ht="14.45" customHeight="1" x14ac:dyDescent="0.25"/>
    <row r="76" spans="1:57" customFormat="1" x14ac:dyDescent="0.25"/>
    <row r="77" spans="1:57" customFormat="1" x14ac:dyDescent="0.25"/>
    <row r="78" spans="1:57" customFormat="1" x14ac:dyDescent="0.25"/>
    <row r="79" spans="1:57" customFormat="1" x14ac:dyDescent="0.25"/>
    <row r="80" spans="1:57" customFormat="1" ht="14.45" customHeight="1" x14ac:dyDescent="0.25"/>
    <row r="81" customFormat="1" ht="14.45" customHeigh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ht="14.45" customHeight="1" x14ac:dyDescent="0.25"/>
    <row r="87" customFormat="1" ht="14.45" customHeigh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</sheetData>
  <mergeCells count="19">
    <mergeCell ref="AP69:AR69"/>
    <mergeCell ref="BB68:BD68"/>
    <mergeCell ref="BB74:BD74"/>
    <mergeCell ref="AT69:AV69"/>
    <mergeCell ref="AX69:AZ69"/>
    <mergeCell ref="BB69:BD69"/>
    <mergeCell ref="BB53:BD53"/>
    <mergeCell ref="BB58:BD58"/>
    <mergeCell ref="BB63:BD63"/>
    <mergeCell ref="BB23:BD23"/>
    <mergeCell ref="BB3:BD3"/>
    <mergeCell ref="BB8:BD8"/>
    <mergeCell ref="BB13:BD13"/>
    <mergeCell ref="BB18:BD18"/>
    <mergeCell ref="BB28:BD28"/>
    <mergeCell ref="BB33:BD33"/>
    <mergeCell ref="BB38:BD38"/>
    <mergeCell ref="BB43:BD43"/>
    <mergeCell ref="BB48:BD48"/>
  </mergeCells>
  <hyperlinks>
    <hyperlink ref="AX1" r:id="rId1"/>
    <hyperlink ref="AT1" r:id="rId2" display="Budget expl. 2017"/>
    <hyperlink ref="AL1" r:id="rId3" display="Budget expl. 2015"/>
    <hyperlink ref="AH1" r:id="rId4" display="Budget expl. 2014"/>
    <hyperlink ref="AD1" r:id="rId5" display="Budget expl. 2013"/>
    <hyperlink ref="Z1" r:id="rId6" display="Budget expl. 2012"/>
    <hyperlink ref="N1" r:id="rId7" display="Budget expl. 2009"/>
    <hyperlink ref="A3:AZ3" r:id="rId8" display="Forecasted in 2004 (Budget explanations 2005)"/>
    <hyperlink ref="B1" r:id="rId9" display="Budget expl. 2006"/>
    <hyperlink ref="F1" r:id="rId10" display="Budget expl. 2007"/>
    <hyperlink ref="J1" r:id="rId11" display="Budget expl. 2008"/>
    <hyperlink ref="R1" r:id="rId12" display="Budget expl. 2010"/>
    <hyperlink ref="V1" r:id="rId13" display="Budget expl. 2011"/>
  </hyperlinks>
  <pageMargins left="0.70866141732283472" right="0.70866141732283472" top="0.74803149606299213" bottom="0.74803149606299213" header="0.31496062992125984" footer="0.31496062992125984"/>
  <pageSetup paperSize="9" scale="41" orientation="landscape"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zoomScale="50" zoomScaleNormal="50" workbookViewId="0"/>
  </sheetViews>
  <sheetFormatPr defaultRowHeight="15" x14ac:dyDescent="0.25"/>
  <cols>
    <col min="1" max="1" width="11.42578125" bestFit="1" customWidth="1"/>
    <col min="18" max="18" width="5.28515625" bestFit="1" customWidth="1"/>
    <col min="19" max="19" width="9.85546875" bestFit="1" customWidth="1"/>
    <col min="20" max="20" width="11.140625" bestFit="1" customWidth="1"/>
    <col min="21" max="21" width="9.85546875" customWidth="1"/>
    <col min="22" max="22" width="11.28515625" customWidth="1"/>
    <col min="23" max="23" width="12.28515625" bestFit="1" customWidth="1"/>
    <col min="24" max="24" width="9.85546875" customWidth="1"/>
    <col min="25" max="25" width="11.140625" bestFit="1" customWidth="1"/>
    <col min="26" max="26" width="9.85546875" customWidth="1"/>
    <col min="27" max="27" width="11.28515625" customWidth="1"/>
    <col min="28" max="28" width="12.28515625" bestFit="1" customWidth="1"/>
    <col min="29" max="29" width="9.85546875" customWidth="1"/>
    <col min="30" max="30" width="11.140625" bestFit="1" customWidth="1"/>
    <col min="31" max="31" width="9.85546875" customWidth="1"/>
    <col min="32" max="32" width="11.28515625" bestFit="1" customWidth="1"/>
    <col min="33" max="33" width="12.28515625" bestFit="1" customWidth="1"/>
  </cols>
  <sheetData>
    <row r="1" spans="1:33" ht="15.75" thickBot="1" x14ac:dyDescent="0.3">
      <c r="A1" s="35" t="s">
        <v>15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47"/>
      <c r="R1" s="36"/>
    </row>
    <row r="2" spans="1:33" x14ac:dyDescent="0.25">
      <c r="A2" t="s">
        <v>112</v>
      </c>
      <c r="R2" s="47"/>
      <c r="S2" s="123" t="s">
        <v>88</v>
      </c>
      <c r="T2" s="124"/>
      <c r="U2" s="124"/>
      <c r="V2" s="124"/>
      <c r="W2" s="125"/>
      <c r="X2" s="123" t="s">
        <v>89</v>
      </c>
      <c r="Y2" s="124"/>
      <c r="Z2" s="124"/>
      <c r="AA2" s="124"/>
      <c r="AB2" s="125"/>
      <c r="AC2" s="123" t="s">
        <v>90</v>
      </c>
      <c r="AD2" s="124"/>
      <c r="AE2" s="124"/>
      <c r="AF2" s="124"/>
      <c r="AG2" s="125"/>
    </row>
    <row r="3" spans="1:33" x14ac:dyDescent="0.25">
      <c r="B3" s="36">
        <v>2003</v>
      </c>
      <c r="C3" s="36">
        <v>2004</v>
      </c>
      <c r="D3" s="36">
        <v>2005</v>
      </c>
      <c r="E3" s="36">
        <v>2006</v>
      </c>
      <c r="F3" s="36">
        <v>2007</v>
      </c>
      <c r="G3" s="36">
        <v>2008</v>
      </c>
      <c r="H3" s="36">
        <v>2009</v>
      </c>
      <c r="I3" s="36">
        <v>2010</v>
      </c>
      <c r="J3" s="36">
        <v>2011</v>
      </c>
      <c r="K3" s="36">
        <v>2012</v>
      </c>
      <c r="L3" s="36">
        <v>2013</v>
      </c>
      <c r="M3" s="36">
        <v>2014</v>
      </c>
      <c r="N3" s="36">
        <v>2015</v>
      </c>
      <c r="O3" s="36">
        <v>2016</v>
      </c>
      <c r="P3" s="36">
        <v>2017</v>
      </c>
      <c r="Q3" s="36"/>
      <c r="R3" s="36"/>
      <c r="S3" s="35" t="s">
        <v>106</v>
      </c>
      <c r="T3" s="36" t="s">
        <v>104</v>
      </c>
      <c r="U3" s="36" t="s">
        <v>105</v>
      </c>
      <c r="V3" s="36" t="s">
        <v>107</v>
      </c>
      <c r="W3" s="37" t="s">
        <v>108</v>
      </c>
      <c r="X3" s="35" t="s">
        <v>106</v>
      </c>
      <c r="Y3" s="36" t="s">
        <v>104</v>
      </c>
      <c r="Z3" s="36" t="s">
        <v>105</v>
      </c>
      <c r="AA3" s="36" t="s">
        <v>107</v>
      </c>
      <c r="AB3" s="37" t="s">
        <v>108</v>
      </c>
      <c r="AC3" s="35" t="s">
        <v>106</v>
      </c>
      <c r="AD3" s="36" t="s">
        <v>104</v>
      </c>
      <c r="AE3" s="36" t="s">
        <v>105</v>
      </c>
      <c r="AF3" s="36" t="s">
        <v>107</v>
      </c>
      <c r="AG3" s="37" t="s">
        <v>108</v>
      </c>
    </row>
    <row r="4" spans="1:33" x14ac:dyDescent="0.25">
      <c r="A4" s="35" t="s">
        <v>64</v>
      </c>
      <c r="B4" s="55">
        <v>7.5</v>
      </c>
      <c r="C4" s="20">
        <v>6.2</v>
      </c>
      <c r="D4" s="103">
        <v>6.2</v>
      </c>
      <c r="E4" s="38"/>
      <c r="F4" s="20"/>
      <c r="G4" s="20"/>
      <c r="H4" s="20"/>
      <c r="I4" s="20"/>
      <c r="L4" s="20"/>
      <c r="M4" s="20"/>
      <c r="N4" s="20"/>
      <c r="O4" s="20"/>
      <c r="P4" s="39"/>
      <c r="Q4" s="39"/>
      <c r="R4" s="36"/>
      <c r="S4" s="40"/>
      <c r="T4" s="39"/>
      <c r="U4" s="39"/>
      <c r="V4" s="36"/>
      <c r="W4" s="37"/>
      <c r="X4" s="36"/>
      <c r="Y4" s="36"/>
      <c r="Z4" s="36"/>
      <c r="AA4" s="36"/>
      <c r="AB4" s="36"/>
      <c r="AC4" s="41"/>
      <c r="AD4" s="43"/>
      <c r="AE4" s="43"/>
      <c r="AF4" s="36"/>
      <c r="AG4" s="37"/>
    </row>
    <row r="5" spans="1:33" x14ac:dyDescent="0.25">
      <c r="A5" s="35" t="s">
        <v>65</v>
      </c>
      <c r="B5" s="74">
        <v>7.5</v>
      </c>
      <c r="C5" s="20">
        <v>7.5</v>
      </c>
      <c r="D5" s="103">
        <v>6.7</v>
      </c>
      <c r="E5" s="102">
        <v>6.7</v>
      </c>
      <c r="F5" s="20"/>
      <c r="G5" s="20"/>
      <c r="H5" s="20"/>
      <c r="I5" s="20"/>
      <c r="J5" s="102"/>
      <c r="K5" s="29" t="s">
        <v>158</v>
      </c>
      <c r="M5" s="42"/>
      <c r="N5" s="42"/>
      <c r="O5" s="42"/>
      <c r="P5" s="39"/>
      <c r="Q5" s="39"/>
      <c r="R5" s="36">
        <v>2004</v>
      </c>
      <c r="S5" s="40">
        <f>C6-C4</f>
        <v>2.2999999999999998</v>
      </c>
      <c r="T5" s="39">
        <f>-C5+C7</f>
        <v>0.80000000000000071</v>
      </c>
      <c r="U5" s="39"/>
      <c r="V5" s="39"/>
      <c r="W5" s="37"/>
      <c r="X5" s="36">
        <f>ABS(S5)</f>
        <v>2.2999999999999998</v>
      </c>
      <c r="Y5" s="36">
        <f>ABS(T5)</f>
        <v>0.80000000000000071</v>
      </c>
      <c r="Z5" s="36"/>
      <c r="AA5" s="36"/>
      <c r="AB5" s="36"/>
      <c r="AC5" s="41">
        <f>S5^2</f>
        <v>5.2899999999999991</v>
      </c>
      <c r="AD5" s="43">
        <f>T5^2</f>
        <v>0.64000000000000112</v>
      </c>
      <c r="AE5" s="43"/>
      <c r="AF5" s="43"/>
      <c r="AG5" s="37"/>
    </row>
    <row r="6" spans="1:33" x14ac:dyDescent="0.25">
      <c r="A6" s="35" t="s">
        <v>66</v>
      </c>
      <c r="B6" s="51">
        <v>7.5</v>
      </c>
      <c r="C6" s="55">
        <v>8.5</v>
      </c>
      <c r="D6" s="20">
        <v>7.2</v>
      </c>
      <c r="E6" s="103">
        <v>6.9</v>
      </c>
      <c r="F6" s="38"/>
      <c r="G6" s="20"/>
      <c r="H6" s="20"/>
      <c r="I6" s="20"/>
      <c r="J6" s="103"/>
      <c r="K6" s="42" t="s">
        <v>159</v>
      </c>
      <c r="M6" s="42"/>
      <c r="N6" s="42"/>
      <c r="O6" s="42"/>
      <c r="P6" s="39"/>
      <c r="Q6" s="39"/>
      <c r="R6" s="36">
        <v>2005</v>
      </c>
      <c r="S6" s="40">
        <f>D8-D6</f>
        <v>2.9999999999999991</v>
      </c>
      <c r="T6" s="39">
        <f>-D7+D9</f>
        <v>1.0999999999999996</v>
      </c>
      <c r="U6" s="39">
        <f>D8-D4</f>
        <v>3.9999999999999991</v>
      </c>
      <c r="V6" s="39">
        <f>D9-D5</f>
        <v>3.4999999999999991</v>
      </c>
      <c r="W6" s="37"/>
      <c r="X6" s="36">
        <f>ABS(S6)</f>
        <v>2.9999999999999991</v>
      </c>
      <c r="Y6" s="36">
        <f>ABS(T6)</f>
        <v>1.0999999999999996</v>
      </c>
      <c r="Z6" s="36">
        <f>ABS(U6)</f>
        <v>3.9999999999999991</v>
      </c>
      <c r="AA6" s="36">
        <f t="shared" ref="AA6:AA15" si="0">ABS(V6)</f>
        <v>3.4999999999999991</v>
      </c>
      <c r="AB6" s="36"/>
      <c r="AC6" s="41">
        <f>S6^2</f>
        <v>8.9999999999999947</v>
      </c>
      <c r="AD6" s="43">
        <f>T6^2</f>
        <v>1.2099999999999993</v>
      </c>
      <c r="AE6" s="43">
        <f>U6^2</f>
        <v>15.999999999999993</v>
      </c>
      <c r="AF6" s="43">
        <f>V6^2</f>
        <v>12.249999999999993</v>
      </c>
      <c r="AG6" s="37"/>
    </row>
    <row r="7" spans="1:33" x14ac:dyDescent="0.25">
      <c r="A7" s="35" t="s">
        <v>67</v>
      </c>
      <c r="B7" s="52">
        <v>7.2</v>
      </c>
      <c r="C7" s="74">
        <v>8.3000000000000007</v>
      </c>
      <c r="D7" s="20">
        <v>9.1</v>
      </c>
      <c r="E7" s="103">
        <v>7.7</v>
      </c>
      <c r="F7" s="102">
        <v>7.1</v>
      </c>
      <c r="G7" s="20"/>
      <c r="H7" s="20"/>
      <c r="I7" s="20"/>
      <c r="J7" s="29"/>
      <c r="K7" s="42" t="s">
        <v>160</v>
      </c>
      <c r="M7" s="20"/>
      <c r="N7" s="20"/>
      <c r="O7" s="20"/>
      <c r="P7" s="39"/>
      <c r="Q7" s="39"/>
      <c r="R7" s="36">
        <v>2006</v>
      </c>
      <c r="S7" s="40">
        <f>E10-E8</f>
        <v>3.4000000000000004</v>
      </c>
      <c r="T7" s="39">
        <f>-E9+E11</f>
        <v>0.90000000000000036</v>
      </c>
      <c r="U7" s="39">
        <f>E10-E6</f>
        <v>5</v>
      </c>
      <c r="V7" s="39">
        <f>E11-E7</f>
        <v>4.2</v>
      </c>
      <c r="W7" s="44">
        <f>E11-E5</f>
        <v>5.2</v>
      </c>
      <c r="X7" s="36">
        <f>ABS(S7)</f>
        <v>3.4000000000000004</v>
      </c>
      <c r="Y7" s="36">
        <f t="shared" ref="Y7:Y15" si="1">ABS(T7)</f>
        <v>0.90000000000000036</v>
      </c>
      <c r="Z7" s="36">
        <f>ABS(U7)</f>
        <v>5</v>
      </c>
      <c r="AA7" s="36">
        <f t="shared" si="0"/>
        <v>4.2</v>
      </c>
      <c r="AB7" s="36">
        <f t="shared" ref="AB7:AB15" si="2">ABS(W7)</f>
        <v>5.2</v>
      </c>
      <c r="AC7" s="41">
        <f>S7^2</f>
        <v>11.560000000000002</v>
      </c>
      <c r="AD7" s="43">
        <f t="shared" ref="AD7:AD15" si="3">T7^2</f>
        <v>0.81000000000000061</v>
      </c>
      <c r="AE7" s="43">
        <f>U7^2</f>
        <v>25</v>
      </c>
      <c r="AF7" s="43">
        <f>V7^2</f>
        <v>17.64</v>
      </c>
      <c r="AG7" s="45">
        <f>W7^2</f>
        <v>27.040000000000003</v>
      </c>
    </row>
    <row r="8" spans="1:33" x14ac:dyDescent="0.25">
      <c r="A8" s="35" t="s">
        <v>68</v>
      </c>
      <c r="B8" s="51">
        <v>7.2</v>
      </c>
      <c r="C8" s="51">
        <v>8.5</v>
      </c>
      <c r="D8" s="55">
        <v>10.199999999999999</v>
      </c>
      <c r="E8" s="20">
        <v>8.5</v>
      </c>
      <c r="F8" s="103">
        <v>7.6</v>
      </c>
      <c r="G8" s="38"/>
      <c r="H8" s="20"/>
      <c r="I8" s="20"/>
      <c r="J8" s="75"/>
      <c r="K8" s="42" t="s">
        <v>128</v>
      </c>
      <c r="M8" s="42"/>
      <c r="N8" s="42"/>
      <c r="O8" s="42"/>
      <c r="P8" s="39"/>
      <c r="Q8" s="39"/>
      <c r="R8" s="36">
        <v>2007</v>
      </c>
      <c r="S8" s="40">
        <f>F12-F10</f>
        <v>0.70000000000000107</v>
      </c>
      <c r="T8" s="39">
        <f>-F11+F13</f>
        <v>-0.19999999999999929</v>
      </c>
      <c r="U8" s="39">
        <f>F12-F8</f>
        <v>2.7000000000000011</v>
      </c>
      <c r="V8" s="39">
        <f>F13-F9</f>
        <v>1.4000000000000004</v>
      </c>
      <c r="W8" s="44">
        <f>F13-F7</f>
        <v>3.2000000000000011</v>
      </c>
      <c r="X8" s="36">
        <f>ABS(S8)</f>
        <v>0.70000000000000107</v>
      </c>
      <c r="Y8" s="36">
        <f>ABS(T8)</f>
        <v>0.19999999999999929</v>
      </c>
      <c r="Z8" s="36">
        <f t="shared" ref="Z8:Z15" si="4">ABS(U8)</f>
        <v>2.7000000000000011</v>
      </c>
      <c r="AA8" s="36">
        <f t="shared" si="0"/>
        <v>1.4000000000000004</v>
      </c>
      <c r="AB8" s="36">
        <f t="shared" si="2"/>
        <v>3.2000000000000011</v>
      </c>
      <c r="AC8" s="41">
        <f>S8^2</f>
        <v>0.49000000000000149</v>
      </c>
      <c r="AD8" s="43">
        <f>T8^2</f>
        <v>3.9999999999999716E-2</v>
      </c>
      <c r="AE8" s="43">
        <f t="shared" ref="AE8:AE14" si="5">U8^2</f>
        <v>7.2900000000000054</v>
      </c>
      <c r="AF8" s="43">
        <f t="shared" ref="AF8:AF13" si="6">V8^2</f>
        <v>1.9600000000000011</v>
      </c>
      <c r="AG8" s="45">
        <f>W8^2</f>
        <v>10.240000000000007</v>
      </c>
    </row>
    <row r="9" spans="1:33" x14ac:dyDescent="0.25">
      <c r="A9" s="35" t="s">
        <v>69</v>
      </c>
      <c r="B9" s="51">
        <v>7.2</v>
      </c>
      <c r="C9" s="52">
        <v>8.6</v>
      </c>
      <c r="D9" s="74">
        <v>10.199999999999999</v>
      </c>
      <c r="E9" s="20">
        <v>11</v>
      </c>
      <c r="F9" s="103">
        <v>8.9</v>
      </c>
      <c r="G9" s="102">
        <v>8</v>
      </c>
      <c r="H9" s="20"/>
      <c r="I9" s="20"/>
      <c r="J9" s="76"/>
      <c r="K9" s="42" t="s">
        <v>129</v>
      </c>
      <c r="M9" s="42"/>
      <c r="N9" s="42"/>
      <c r="O9" s="42"/>
      <c r="P9" s="39"/>
      <c r="Q9" s="39"/>
      <c r="R9" s="36">
        <v>2008</v>
      </c>
      <c r="S9" s="40">
        <f>G14-G12</f>
        <v>-8.3999999999999986</v>
      </c>
      <c r="T9" s="39">
        <f>-G13+G15</f>
        <v>-3.8</v>
      </c>
      <c r="U9" s="39">
        <f>G14-G10</f>
        <v>-12.5</v>
      </c>
      <c r="V9" s="39">
        <f>G15-G11</f>
        <v>-11.8</v>
      </c>
      <c r="W9" s="44">
        <f>G15-G9</f>
        <v>-12.6</v>
      </c>
      <c r="X9" s="36">
        <f t="shared" ref="X9:X14" si="7">ABS(S9)</f>
        <v>8.3999999999999986</v>
      </c>
      <c r="Y9" s="36">
        <f t="shared" si="1"/>
        <v>3.8</v>
      </c>
      <c r="Z9" s="36">
        <f>ABS(U9)</f>
        <v>12.5</v>
      </c>
      <c r="AA9" s="36">
        <f t="shared" si="0"/>
        <v>11.8</v>
      </c>
      <c r="AB9" s="36">
        <f t="shared" si="2"/>
        <v>12.6</v>
      </c>
      <c r="AC9" s="41">
        <f t="shared" ref="AC9:AC14" si="8">S9^2</f>
        <v>70.559999999999974</v>
      </c>
      <c r="AD9" s="43">
        <f t="shared" si="3"/>
        <v>14.44</v>
      </c>
      <c r="AE9" s="43">
        <f>U9^2</f>
        <v>156.25</v>
      </c>
      <c r="AF9" s="43">
        <f>V9^2</f>
        <v>139.24</v>
      </c>
      <c r="AG9" s="45">
        <f t="shared" ref="AG9:AG15" si="9">W9^2</f>
        <v>158.76</v>
      </c>
    </row>
    <row r="10" spans="1:33" x14ac:dyDescent="0.25">
      <c r="A10" s="35" t="s">
        <v>70</v>
      </c>
      <c r="B10" s="51">
        <v>7.2</v>
      </c>
      <c r="C10" s="51">
        <v>8.6999999999999993</v>
      </c>
      <c r="D10" s="51">
        <v>10.6</v>
      </c>
      <c r="E10" s="55">
        <v>11.9</v>
      </c>
      <c r="F10" s="20">
        <v>9.6</v>
      </c>
      <c r="G10" s="103">
        <v>7.9</v>
      </c>
      <c r="H10" s="38"/>
      <c r="I10" s="20"/>
      <c r="L10" s="20"/>
      <c r="M10" s="20"/>
      <c r="N10" s="20"/>
      <c r="O10" s="20"/>
      <c r="P10" s="39"/>
      <c r="Q10" s="39"/>
      <c r="R10" s="36">
        <v>2009</v>
      </c>
      <c r="S10" s="40">
        <f>H16-H14</f>
        <v>-4.9000000000000004</v>
      </c>
      <c r="T10" s="39">
        <f>-H15+H17</f>
        <v>0</v>
      </c>
      <c r="U10" s="39">
        <f>H16-H12</f>
        <v>-20.5</v>
      </c>
      <c r="V10" s="39">
        <f>H17-H13</f>
        <v>-15.3</v>
      </c>
      <c r="W10" s="44">
        <f>H17-H11</f>
        <v>-24.2</v>
      </c>
      <c r="X10" s="36">
        <f>ABS(S10)</f>
        <v>4.9000000000000004</v>
      </c>
      <c r="Y10" s="36">
        <f>ABS(T10)</f>
        <v>0</v>
      </c>
      <c r="Z10" s="36">
        <f t="shared" si="4"/>
        <v>20.5</v>
      </c>
      <c r="AA10" s="36">
        <f t="shared" si="0"/>
        <v>15.3</v>
      </c>
      <c r="AB10" s="36">
        <f t="shared" si="2"/>
        <v>24.2</v>
      </c>
      <c r="AC10" s="41">
        <f>S10^2</f>
        <v>24.010000000000005</v>
      </c>
      <c r="AD10" s="43">
        <f>T10^2</f>
        <v>0</v>
      </c>
      <c r="AE10" s="43">
        <f t="shared" si="5"/>
        <v>420.25</v>
      </c>
      <c r="AF10" s="43">
        <f>V10^2</f>
        <v>234.09000000000003</v>
      </c>
      <c r="AG10" s="45">
        <f>W10^2</f>
        <v>585.64</v>
      </c>
    </row>
    <row r="11" spans="1:33" x14ac:dyDescent="0.25">
      <c r="A11" s="35" t="s">
        <v>71</v>
      </c>
      <c r="B11" s="51">
        <v>7.2</v>
      </c>
      <c r="C11" s="51">
        <v>8.6999999999999993</v>
      </c>
      <c r="D11" s="52">
        <v>10.6</v>
      </c>
      <c r="E11" s="74">
        <v>11.9</v>
      </c>
      <c r="F11" s="20">
        <v>10.5</v>
      </c>
      <c r="G11" s="103">
        <v>7.2</v>
      </c>
      <c r="H11" s="102">
        <v>6.2</v>
      </c>
      <c r="I11" s="20"/>
      <c r="N11" s="20"/>
      <c r="O11" s="20"/>
      <c r="P11" s="39"/>
      <c r="Q11" s="39"/>
      <c r="R11" s="36">
        <v>2010</v>
      </c>
      <c r="S11" s="40">
        <f>I18-I16</f>
        <v>3.2</v>
      </c>
      <c r="T11" s="39">
        <f>-I17+I19</f>
        <v>0.10000000000000003</v>
      </c>
      <c r="U11" s="39">
        <f>I18-I14</f>
        <v>2.9000000000000004</v>
      </c>
      <c r="V11" s="39">
        <f>I19-I15</f>
        <v>3.7</v>
      </c>
      <c r="W11" s="44">
        <f>I19-I13</f>
        <v>-1.3</v>
      </c>
      <c r="X11" s="36">
        <f t="shared" si="7"/>
        <v>3.2</v>
      </c>
      <c r="Y11" s="36">
        <f t="shared" si="1"/>
        <v>0.10000000000000003</v>
      </c>
      <c r="Z11" s="36">
        <f t="shared" si="4"/>
        <v>2.9000000000000004</v>
      </c>
      <c r="AA11" s="36">
        <f t="shared" si="0"/>
        <v>3.7</v>
      </c>
      <c r="AB11" s="36">
        <f t="shared" si="2"/>
        <v>1.3</v>
      </c>
      <c r="AC11" s="41">
        <f t="shared" si="8"/>
        <v>10.240000000000002</v>
      </c>
      <c r="AD11" s="43">
        <f t="shared" si="3"/>
        <v>1.0000000000000007E-2</v>
      </c>
      <c r="AE11" s="43">
        <f>U11^2</f>
        <v>8.4100000000000019</v>
      </c>
      <c r="AF11" s="43">
        <f t="shared" si="6"/>
        <v>13.690000000000001</v>
      </c>
      <c r="AG11" s="45">
        <f>W11^2</f>
        <v>1.6900000000000002</v>
      </c>
    </row>
    <row r="12" spans="1:33" x14ac:dyDescent="0.25">
      <c r="A12" s="35" t="s">
        <v>72</v>
      </c>
      <c r="B12" s="51">
        <v>7.2</v>
      </c>
      <c r="C12" s="51">
        <v>8.6999999999999993</v>
      </c>
      <c r="D12" s="51">
        <v>10.6</v>
      </c>
      <c r="E12" s="51">
        <v>12.2</v>
      </c>
      <c r="F12" s="55">
        <v>10.3</v>
      </c>
      <c r="G12" s="20">
        <v>3.8</v>
      </c>
      <c r="H12" s="103">
        <v>2.5</v>
      </c>
      <c r="I12" s="38"/>
      <c r="J12" s="20"/>
      <c r="K12" s="20"/>
      <c r="L12" s="38"/>
      <c r="M12" s="20"/>
      <c r="N12" s="20"/>
      <c r="O12" s="20"/>
      <c r="P12" s="39"/>
      <c r="Q12" s="39"/>
      <c r="R12" s="36">
        <v>2011</v>
      </c>
      <c r="S12" s="40">
        <f>J20-J18</f>
        <v>2.2000000000000002</v>
      </c>
      <c r="T12" s="39">
        <f>-J19+J21</f>
        <v>1</v>
      </c>
      <c r="U12" s="39">
        <f>J20-J16</f>
        <v>2.2000000000000002</v>
      </c>
      <c r="V12" s="39">
        <f>J21-J17</f>
        <v>2.2000000000000002</v>
      </c>
      <c r="W12" s="44">
        <f>J21-J15</f>
        <v>3.5</v>
      </c>
      <c r="X12" s="36">
        <f>ABS(S12)</f>
        <v>2.2000000000000002</v>
      </c>
      <c r="Y12" s="36">
        <f>ABS(T12)</f>
        <v>1</v>
      </c>
      <c r="Z12" s="36">
        <f t="shared" si="4"/>
        <v>2.2000000000000002</v>
      </c>
      <c r="AA12" s="36">
        <f t="shared" si="0"/>
        <v>2.2000000000000002</v>
      </c>
      <c r="AB12" s="36">
        <f t="shared" si="2"/>
        <v>3.5</v>
      </c>
      <c r="AC12" s="41">
        <f>S12^2</f>
        <v>4.8400000000000007</v>
      </c>
      <c r="AD12" s="43">
        <f>T12^2</f>
        <v>1</v>
      </c>
      <c r="AE12" s="43">
        <f t="shared" si="5"/>
        <v>4.8400000000000007</v>
      </c>
      <c r="AF12" s="43">
        <f>V12^2</f>
        <v>4.8400000000000007</v>
      </c>
      <c r="AG12" s="45">
        <f t="shared" si="9"/>
        <v>12.25</v>
      </c>
    </row>
    <row r="13" spans="1:33" x14ac:dyDescent="0.25">
      <c r="A13" s="35" t="s">
        <v>73</v>
      </c>
      <c r="B13" s="20"/>
      <c r="C13" s="51">
        <v>8.6999999999999993</v>
      </c>
      <c r="D13" s="51">
        <v>10.6</v>
      </c>
      <c r="E13" s="52">
        <v>12.2</v>
      </c>
      <c r="F13" s="74">
        <v>10.3</v>
      </c>
      <c r="G13" s="20">
        <v>-0.8</v>
      </c>
      <c r="H13" s="103">
        <v>-2.7</v>
      </c>
      <c r="I13" s="102">
        <v>1</v>
      </c>
      <c r="J13" s="20"/>
      <c r="K13" s="20"/>
      <c r="L13" s="20"/>
      <c r="M13" s="36"/>
      <c r="N13" s="20"/>
      <c r="O13" s="20"/>
      <c r="P13" s="39"/>
      <c r="Q13" s="39"/>
      <c r="R13" s="36">
        <v>2012</v>
      </c>
      <c r="S13" s="40">
        <f>K22-K20</f>
        <v>3.3999999999999995</v>
      </c>
      <c r="T13" s="39">
        <f>-K21+K23</f>
        <v>0.70000000000000018</v>
      </c>
      <c r="U13" s="39">
        <f>K22-K18</f>
        <v>1.5999999999999996</v>
      </c>
      <c r="V13" s="39">
        <f>K23-K19</f>
        <v>2.5</v>
      </c>
      <c r="W13" s="44">
        <f>K23-K17</f>
        <v>1</v>
      </c>
      <c r="X13" s="36">
        <f>ABS(S13)</f>
        <v>3.3999999999999995</v>
      </c>
      <c r="Y13" s="36">
        <f t="shared" si="1"/>
        <v>0.70000000000000018</v>
      </c>
      <c r="Z13" s="36">
        <f t="shared" si="4"/>
        <v>1.5999999999999996</v>
      </c>
      <c r="AA13" s="36">
        <f t="shared" si="0"/>
        <v>2.5</v>
      </c>
      <c r="AB13" s="36">
        <f t="shared" si="2"/>
        <v>1</v>
      </c>
      <c r="AC13" s="41">
        <f>S13^2</f>
        <v>11.559999999999997</v>
      </c>
      <c r="AD13" s="43">
        <f t="shared" si="3"/>
        <v>0.49000000000000027</v>
      </c>
      <c r="AE13" s="43">
        <f>U13^2</f>
        <v>2.5599999999999987</v>
      </c>
      <c r="AF13" s="43">
        <f t="shared" si="6"/>
        <v>6.25</v>
      </c>
      <c r="AG13" s="45">
        <f>W13^2</f>
        <v>1</v>
      </c>
    </row>
    <row r="14" spans="1:33" x14ac:dyDescent="0.25">
      <c r="A14" s="35" t="s">
        <v>74</v>
      </c>
      <c r="B14" s="20"/>
      <c r="C14" s="20"/>
      <c r="D14" s="51"/>
      <c r="E14" s="51"/>
      <c r="F14" s="51">
        <v>10</v>
      </c>
      <c r="G14" s="55">
        <v>-4.5999999999999996</v>
      </c>
      <c r="H14" s="20">
        <v>-13.1</v>
      </c>
      <c r="I14" s="103">
        <v>-3.2</v>
      </c>
      <c r="J14" s="38"/>
      <c r="K14" s="20"/>
      <c r="L14" s="20"/>
      <c r="O14" s="38"/>
      <c r="P14" s="39"/>
      <c r="Q14" s="39"/>
      <c r="R14" s="36">
        <v>2013</v>
      </c>
      <c r="S14" s="40">
        <f>L24-L22</f>
        <v>0.29999999999999982</v>
      </c>
      <c r="T14" s="39">
        <f>-L23+L25</f>
        <v>0.20000000000000018</v>
      </c>
      <c r="U14" s="39">
        <f>L24-L20</f>
        <v>0.49999999999999956</v>
      </c>
      <c r="V14" s="39">
        <f>L25-L21</f>
        <v>0.60000000000000009</v>
      </c>
      <c r="W14" s="44">
        <f>L25-L19</f>
        <v>0.20000000000000018</v>
      </c>
      <c r="X14" s="36">
        <f t="shared" si="7"/>
        <v>0.29999999999999982</v>
      </c>
      <c r="Y14" s="36">
        <f>ABS(T14)</f>
        <v>0.20000000000000018</v>
      </c>
      <c r="Z14" s="36">
        <f t="shared" si="4"/>
        <v>0.49999999999999956</v>
      </c>
      <c r="AA14" s="36">
        <f t="shared" si="0"/>
        <v>0.60000000000000009</v>
      </c>
      <c r="AB14" s="36">
        <f t="shared" si="2"/>
        <v>0.20000000000000018</v>
      </c>
      <c r="AC14" s="41">
        <f t="shared" si="8"/>
        <v>8.99999999999999E-2</v>
      </c>
      <c r="AD14" s="43">
        <f>T14^2</f>
        <v>4.000000000000007E-2</v>
      </c>
      <c r="AE14" s="43">
        <f t="shared" si="5"/>
        <v>0.24999999999999956</v>
      </c>
      <c r="AF14" s="43">
        <f>V14^2</f>
        <v>0.3600000000000001</v>
      </c>
      <c r="AG14" s="45">
        <f>W14^2</f>
        <v>4.000000000000007E-2</v>
      </c>
    </row>
    <row r="15" spans="1:33" x14ac:dyDescent="0.25">
      <c r="A15" s="35" t="s">
        <v>75</v>
      </c>
      <c r="B15" s="20"/>
      <c r="C15" s="20"/>
      <c r="D15" s="51">
        <v>10.6</v>
      </c>
      <c r="E15" s="51">
        <v>12.2</v>
      </c>
      <c r="F15" s="52">
        <v>10</v>
      </c>
      <c r="G15" s="74">
        <v>-4.5999999999999996</v>
      </c>
      <c r="H15" s="20">
        <v>-18</v>
      </c>
      <c r="I15" s="103">
        <v>-4</v>
      </c>
      <c r="J15" s="102">
        <v>2</v>
      </c>
      <c r="K15" s="20"/>
      <c r="L15" s="20"/>
      <c r="M15" s="20"/>
      <c r="N15" s="20"/>
      <c r="O15" s="20"/>
      <c r="P15" s="39"/>
      <c r="Q15" s="39"/>
      <c r="R15" s="36">
        <v>2014</v>
      </c>
      <c r="S15" s="40">
        <f>M26-M24</f>
        <v>-1.4</v>
      </c>
      <c r="T15" s="39">
        <f>-M25+M27</f>
        <v>0.19999999999999973</v>
      </c>
      <c r="U15" s="39">
        <f>M26-M22</f>
        <v>-1.6999999999999997</v>
      </c>
      <c r="V15" s="39">
        <f>M27-M23</f>
        <v>-1.2999999999999998</v>
      </c>
      <c r="W15" s="44">
        <f>M27-M21</f>
        <v>-1.1000000000000001</v>
      </c>
      <c r="X15" s="36">
        <f>ABS(S15)</f>
        <v>1.4</v>
      </c>
      <c r="Y15" s="36">
        <f t="shared" si="1"/>
        <v>0.19999999999999973</v>
      </c>
      <c r="Z15" s="36">
        <f t="shared" si="4"/>
        <v>1.6999999999999997</v>
      </c>
      <c r="AA15" s="36">
        <f t="shared" si="0"/>
        <v>1.2999999999999998</v>
      </c>
      <c r="AB15" s="36">
        <f t="shared" si="2"/>
        <v>1.1000000000000001</v>
      </c>
      <c r="AC15" s="41">
        <f>S15^2</f>
        <v>1.9599999999999997</v>
      </c>
      <c r="AD15" s="43">
        <f t="shared" si="3"/>
        <v>3.9999999999999897E-2</v>
      </c>
      <c r="AE15" s="43">
        <f>U15^2</f>
        <v>2.8899999999999992</v>
      </c>
      <c r="AF15" s="43">
        <f>V15^2</f>
        <v>1.6899999999999995</v>
      </c>
      <c r="AG15" s="45">
        <f t="shared" si="9"/>
        <v>1.2100000000000002</v>
      </c>
    </row>
    <row r="16" spans="1:33" x14ac:dyDescent="0.25">
      <c r="A16" s="35" t="s">
        <v>76</v>
      </c>
      <c r="B16" s="20"/>
      <c r="C16" s="20"/>
      <c r="D16" s="51">
        <v>10.6</v>
      </c>
      <c r="E16" s="51">
        <v>12.2</v>
      </c>
      <c r="F16" s="52">
        <v>10</v>
      </c>
      <c r="G16" s="51">
        <v>-4.5999999999999996</v>
      </c>
      <c r="H16" s="55">
        <v>-18</v>
      </c>
      <c r="I16" s="20">
        <v>-3.5</v>
      </c>
      <c r="J16" s="103">
        <v>3.3</v>
      </c>
      <c r="K16" s="38"/>
      <c r="L16" s="20"/>
      <c r="M16" s="20"/>
      <c r="N16" s="20"/>
      <c r="O16" s="20"/>
      <c r="P16" s="39"/>
      <c r="Q16" s="39"/>
      <c r="R16" s="36">
        <v>2015</v>
      </c>
      <c r="S16" s="40">
        <f>N28-N26</f>
        <v>0.40000000000000036</v>
      </c>
      <c r="T16" s="39">
        <f>-N27+N29</f>
        <v>0.30000000000000027</v>
      </c>
      <c r="U16" s="39">
        <f>N28-N24</f>
        <v>-1.3999999999999995</v>
      </c>
      <c r="V16" s="39">
        <f>N29-N25</f>
        <v>-0.19999999999999973</v>
      </c>
      <c r="W16" s="44">
        <f>N29-N23</f>
        <v>-1.5</v>
      </c>
      <c r="X16" s="36">
        <f>ABS(S16)</f>
        <v>0.40000000000000036</v>
      </c>
      <c r="Y16" s="36">
        <f t="shared" ref="Y16" si="10">ABS(T16)</f>
        <v>0.30000000000000027</v>
      </c>
      <c r="Z16" s="36">
        <f t="shared" ref="Z16" si="11">ABS(U16)</f>
        <v>1.3999999999999995</v>
      </c>
      <c r="AA16" s="36">
        <f t="shared" ref="AA16" si="12">ABS(V16)</f>
        <v>0.19999999999999973</v>
      </c>
      <c r="AB16" s="36">
        <f t="shared" ref="AB16" si="13">ABS(W16)</f>
        <v>1.5</v>
      </c>
      <c r="AC16" s="41">
        <f t="shared" ref="AC16" si="14">S16^2</f>
        <v>0.16000000000000028</v>
      </c>
      <c r="AD16" s="43">
        <f>T16^2</f>
        <v>9.0000000000000163E-2</v>
      </c>
      <c r="AE16" s="43">
        <f>U16^2</f>
        <v>1.9599999999999984</v>
      </c>
      <c r="AF16" s="43">
        <f>V16^2</f>
        <v>3.9999999999999897E-2</v>
      </c>
      <c r="AG16" s="45">
        <f>W16^2</f>
        <v>2.25</v>
      </c>
    </row>
    <row r="17" spans="1:33" x14ac:dyDescent="0.25">
      <c r="A17" s="35" t="s">
        <v>77</v>
      </c>
      <c r="B17" s="20"/>
      <c r="C17" s="20"/>
      <c r="D17" s="20"/>
      <c r="E17" s="51">
        <v>12.2</v>
      </c>
      <c r="F17" s="51">
        <v>10</v>
      </c>
      <c r="G17" s="52">
        <v>-4.2</v>
      </c>
      <c r="H17" s="74">
        <v>-18</v>
      </c>
      <c r="I17" s="20">
        <v>-0.4</v>
      </c>
      <c r="J17" s="103">
        <v>3.3</v>
      </c>
      <c r="K17" s="102">
        <v>4</v>
      </c>
      <c r="L17" s="20"/>
      <c r="M17" s="20"/>
      <c r="N17" s="20"/>
      <c r="O17" s="20"/>
      <c r="P17" s="39"/>
      <c r="Q17" s="39"/>
      <c r="R17" s="36">
        <v>2016</v>
      </c>
      <c r="S17" s="40">
        <f>O30-O28</f>
        <v>-0.79999999999999982</v>
      </c>
      <c r="T17" s="39">
        <f>-O29+O31</f>
        <v>0.20000000000000018</v>
      </c>
      <c r="U17" s="39">
        <f>O30-O26</f>
        <v>-1.2000000000000002</v>
      </c>
      <c r="V17" s="39">
        <f>O31-O27</f>
        <v>-0.89999999999999991</v>
      </c>
      <c r="W17" s="44">
        <f>O31-O25</f>
        <v>-1.5</v>
      </c>
      <c r="X17" s="36">
        <f t="shared" ref="X17" si="15">ABS(S17)</f>
        <v>0.79999999999999982</v>
      </c>
      <c r="Y17" s="36">
        <f t="shared" ref="Y17" si="16">ABS(T17)</f>
        <v>0.20000000000000018</v>
      </c>
      <c r="Z17" s="36">
        <f t="shared" ref="Z17" si="17">ABS(U17)</f>
        <v>1.2000000000000002</v>
      </c>
      <c r="AA17" s="36">
        <f t="shared" ref="AA17" si="18">ABS(V17)</f>
        <v>0.89999999999999991</v>
      </c>
      <c r="AB17" s="36">
        <f t="shared" ref="AB17" si="19">ABS(W17)</f>
        <v>1.5</v>
      </c>
      <c r="AC17" s="41">
        <f t="shared" ref="AC17" si="20">S17^2</f>
        <v>0.63999999999999968</v>
      </c>
      <c r="AD17" s="43">
        <f>T17^2</f>
        <v>4.000000000000007E-2</v>
      </c>
      <c r="AE17" s="43">
        <f t="shared" ref="AE17" si="21">U17^2</f>
        <v>1.4400000000000004</v>
      </c>
      <c r="AF17" s="43">
        <f>V17^2</f>
        <v>0.80999999999999983</v>
      </c>
      <c r="AG17" s="45">
        <f>W17^2</f>
        <v>2.25</v>
      </c>
    </row>
    <row r="18" spans="1:33" ht="15.75" thickBot="1" x14ac:dyDescent="0.3">
      <c r="A18" s="35" t="s">
        <v>78</v>
      </c>
      <c r="B18" s="20"/>
      <c r="C18" s="20"/>
      <c r="D18" s="20"/>
      <c r="E18" s="51">
        <v>12.2</v>
      </c>
      <c r="F18" s="51">
        <v>10</v>
      </c>
      <c r="G18" s="51">
        <v>-4.2</v>
      </c>
      <c r="H18" s="51">
        <v>-18</v>
      </c>
      <c r="I18" s="55">
        <v>-0.3</v>
      </c>
      <c r="J18" s="20">
        <v>3.3</v>
      </c>
      <c r="K18" s="103">
        <v>4</v>
      </c>
      <c r="L18" s="38"/>
      <c r="M18" s="20"/>
      <c r="N18" s="20"/>
      <c r="O18" s="20"/>
      <c r="P18" s="39"/>
      <c r="Q18" s="39"/>
      <c r="R18" s="36">
        <v>2017</v>
      </c>
      <c r="S18" s="40"/>
      <c r="T18" s="39"/>
      <c r="U18" s="39"/>
      <c r="V18" s="36"/>
      <c r="W18" s="37"/>
      <c r="X18" s="36"/>
      <c r="Y18" s="36"/>
      <c r="Z18" s="36"/>
      <c r="AA18" s="36"/>
      <c r="AB18" s="36"/>
      <c r="AC18" s="41"/>
      <c r="AD18" s="43"/>
      <c r="AE18" s="43"/>
      <c r="AF18" s="36"/>
      <c r="AG18" s="37"/>
    </row>
    <row r="19" spans="1:33" ht="15.75" thickBot="1" x14ac:dyDescent="0.3">
      <c r="A19" s="35" t="s">
        <v>79</v>
      </c>
      <c r="B19" s="20"/>
      <c r="C19" s="20"/>
      <c r="D19" s="20"/>
      <c r="E19" s="20"/>
      <c r="F19" s="51">
        <v>9.6</v>
      </c>
      <c r="G19" s="51">
        <v>-3.3</v>
      </c>
      <c r="H19" s="52">
        <v>-17.7</v>
      </c>
      <c r="I19" s="74">
        <v>-0.3</v>
      </c>
      <c r="J19" s="20">
        <v>4.5</v>
      </c>
      <c r="K19" s="103">
        <v>2.5</v>
      </c>
      <c r="L19" s="102">
        <v>4</v>
      </c>
      <c r="M19" s="20"/>
      <c r="N19" s="20"/>
      <c r="O19" s="20"/>
      <c r="P19" s="39"/>
      <c r="Q19" s="39"/>
      <c r="R19" s="36"/>
      <c r="S19" s="56">
        <f>SUM(S4:S18)/COUNT(S4:S18)</f>
        <v>0.26153846153846161</v>
      </c>
      <c r="T19" s="57">
        <f t="shared" ref="T19:W19" si="22">SUM(T4:T18)/COUNT(T4:T18)</f>
        <v>0.11538461538461556</v>
      </c>
      <c r="U19" s="57">
        <f t="shared" si="22"/>
        <v>-1.5333333333333332</v>
      </c>
      <c r="V19" s="57">
        <f t="shared" si="22"/>
        <v>-0.95000000000000007</v>
      </c>
      <c r="W19" s="54">
        <f t="shared" si="22"/>
        <v>-2.6454545454545455</v>
      </c>
      <c r="X19" s="57">
        <f>SUM(X4:X18)/COUNT(X4:X18)</f>
        <v>2.6461538461538456</v>
      </c>
      <c r="Y19" s="57">
        <f t="shared" ref="Y19:AB19" si="23">SUM(Y4:Y18)/COUNT(Y4:Y18)</f>
        <v>0.73076923076923073</v>
      </c>
      <c r="Z19" s="57">
        <f t="shared" si="23"/>
        <v>4.6833333333333345</v>
      </c>
      <c r="AA19" s="57">
        <f t="shared" si="23"/>
        <v>3.9666666666666672</v>
      </c>
      <c r="AB19" s="57">
        <f t="shared" si="23"/>
        <v>5.0272727272727273</v>
      </c>
      <c r="AC19" s="56">
        <f>SQRT(SUM(AC4:AC18)/COUNT(AC4:AC18))</f>
        <v>3.4013571951841177</v>
      </c>
      <c r="AD19" s="57">
        <f t="shared" ref="AD19:AG19" si="24">SQRT(SUM(AD4:AD18)/COUNT(AD4:AD18))</f>
        <v>1.2041594578792296</v>
      </c>
      <c r="AE19" s="57">
        <f t="shared" si="24"/>
        <v>7.343591310342191</v>
      </c>
      <c r="AF19" s="57">
        <f t="shared" si="24"/>
        <v>6.0059692528905497</v>
      </c>
      <c r="AG19" s="54">
        <f t="shared" si="24"/>
        <v>8.5406514548204857</v>
      </c>
    </row>
    <row r="20" spans="1:33" x14ac:dyDescent="0.25">
      <c r="A20" s="35" t="s">
        <v>80</v>
      </c>
      <c r="B20" s="20"/>
      <c r="C20" s="20"/>
      <c r="D20" s="20"/>
      <c r="E20" s="20"/>
      <c r="F20" s="51">
        <v>9.6</v>
      </c>
      <c r="G20" s="51">
        <v>-3.3</v>
      </c>
      <c r="H20" s="51">
        <v>-17.7</v>
      </c>
      <c r="I20" s="51">
        <v>-0.3</v>
      </c>
      <c r="J20" s="55">
        <v>5.5</v>
      </c>
      <c r="K20" s="20">
        <v>2.2000000000000002</v>
      </c>
      <c r="L20" s="103">
        <v>3.6</v>
      </c>
      <c r="M20" s="38"/>
      <c r="N20" s="20"/>
      <c r="O20" s="20"/>
      <c r="P20" s="39"/>
      <c r="Q20" s="39"/>
      <c r="R20" s="36"/>
      <c r="S20" s="36"/>
      <c r="T20" s="36"/>
      <c r="U20" s="36"/>
      <c r="V20" s="39"/>
      <c r="W20" s="53"/>
      <c r="X20" s="36"/>
      <c r="Y20" s="36"/>
      <c r="Z20" s="36"/>
      <c r="AA20" s="36"/>
      <c r="AB20" s="48"/>
      <c r="AC20" s="36"/>
      <c r="AD20" s="36"/>
      <c r="AE20" s="36"/>
      <c r="AF20" s="36"/>
      <c r="AG20" s="48"/>
    </row>
    <row r="21" spans="1:33" x14ac:dyDescent="0.25">
      <c r="A21" s="35" t="s">
        <v>81</v>
      </c>
      <c r="B21" s="20"/>
      <c r="C21" s="20"/>
      <c r="D21" s="20"/>
      <c r="E21" s="20"/>
      <c r="F21" s="20"/>
      <c r="G21" s="51">
        <v>-3.3</v>
      </c>
      <c r="H21" s="51">
        <v>-17.7</v>
      </c>
      <c r="I21" s="52">
        <v>-0.9</v>
      </c>
      <c r="J21" s="74">
        <v>5.5</v>
      </c>
      <c r="K21" s="20">
        <v>4.3</v>
      </c>
      <c r="L21" s="103">
        <v>3.6</v>
      </c>
      <c r="M21" s="102">
        <v>3.9</v>
      </c>
      <c r="N21" s="20"/>
      <c r="O21" s="20"/>
      <c r="P21" s="39"/>
      <c r="Q21" s="39"/>
      <c r="R21" s="36"/>
    </row>
    <row r="22" spans="1:33" x14ac:dyDescent="0.25">
      <c r="A22" s="35" t="s">
        <v>82</v>
      </c>
      <c r="B22" s="20"/>
      <c r="C22" s="20"/>
      <c r="D22" s="20"/>
      <c r="E22" s="20"/>
      <c r="F22" s="20"/>
      <c r="G22" s="51">
        <v>-3.3</v>
      </c>
      <c r="H22" s="51">
        <v>-17.7</v>
      </c>
      <c r="I22" s="51">
        <v>-0.9</v>
      </c>
      <c r="J22" s="51">
        <v>5.5</v>
      </c>
      <c r="K22" s="55">
        <v>5.6</v>
      </c>
      <c r="L22" s="20">
        <v>3.8</v>
      </c>
      <c r="M22" s="103">
        <v>4.0999999999999996</v>
      </c>
      <c r="N22" s="38"/>
      <c r="O22" s="20"/>
      <c r="P22" s="39"/>
      <c r="Q22" s="39"/>
    </row>
    <row r="23" spans="1:33" x14ac:dyDescent="0.25">
      <c r="A23" s="35" t="s">
        <v>83</v>
      </c>
      <c r="B23" s="20"/>
      <c r="C23" s="20"/>
      <c r="D23" s="20"/>
      <c r="E23" s="20"/>
      <c r="F23" s="20"/>
      <c r="G23" s="20"/>
      <c r="H23" s="51">
        <v>-17.7</v>
      </c>
      <c r="I23" s="51">
        <v>-1.3</v>
      </c>
      <c r="J23" s="52">
        <v>5.3</v>
      </c>
      <c r="K23" s="74">
        <v>5</v>
      </c>
      <c r="L23" s="20">
        <v>4</v>
      </c>
      <c r="M23" s="103">
        <v>4.0999999999999996</v>
      </c>
      <c r="N23" s="102">
        <v>4.2</v>
      </c>
      <c r="O23" s="20"/>
      <c r="P23" s="39"/>
      <c r="Q23" s="39"/>
    </row>
    <row r="24" spans="1:33" x14ac:dyDescent="0.25">
      <c r="A24" s="35" t="s">
        <v>84</v>
      </c>
      <c r="B24" s="20"/>
      <c r="C24" s="20"/>
      <c r="D24" s="20"/>
      <c r="E24" s="20"/>
      <c r="F24" s="20"/>
      <c r="G24" s="20"/>
      <c r="H24" s="20"/>
      <c r="I24" s="51">
        <v>-1.3</v>
      </c>
      <c r="J24" s="51">
        <v>5.3</v>
      </c>
      <c r="K24" s="51">
        <v>5.2</v>
      </c>
      <c r="L24" s="55">
        <v>4.0999999999999996</v>
      </c>
      <c r="M24" s="20">
        <v>3.8</v>
      </c>
      <c r="N24" s="103">
        <v>4.0999999999999996</v>
      </c>
      <c r="O24" s="38"/>
      <c r="P24" s="39"/>
      <c r="Q24" s="39"/>
    </row>
    <row r="25" spans="1:33" x14ac:dyDescent="0.25">
      <c r="A25" s="35" t="s">
        <v>85</v>
      </c>
      <c r="B25" s="20"/>
      <c r="C25" s="20"/>
      <c r="D25" s="20"/>
      <c r="E25" s="20"/>
      <c r="F25" s="20"/>
      <c r="G25" s="20"/>
      <c r="H25" s="20"/>
      <c r="I25" s="51">
        <v>-2.9</v>
      </c>
      <c r="J25" s="51">
        <v>5</v>
      </c>
      <c r="K25" s="52">
        <v>4.8</v>
      </c>
      <c r="L25" s="74">
        <v>4.2</v>
      </c>
      <c r="M25" s="20">
        <v>2.6</v>
      </c>
      <c r="N25" s="103">
        <v>2.9</v>
      </c>
      <c r="O25" s="102">
        <v>3.6</v>
      </c>
      <c r="P25" s="39"/>
      <c r="Q25" s="39"/>
    </row>
    <row r="26" spans="1:33" x14ac:dyDescent="0.25">
      <c r="A26" s="35" t="s">
        <v>86</v>
      </c>
      <c r="B26" s="20"/>
      <c r="C26" s="20"/>
      <c r="D26" s="20"/>
      <c r="E26" s="20"/>
      <c r="F26" s="20"/>
      <c r="G26" s="20"/>
      <c r="H26" s="20"/>
      <c r="I26" s="20"/>
      <c r="J26" s="51">
        <v>5</v>
      </c>
      <c r="K26" s="51">
        <v>4.8</v>
      </c>
      <c r="L26" s="51">
        <v>4.2</v>
      </c>
      <c r="M26" s="55">
        <v>2.4</v>
      </c>
      <c r="N26" s="20">
        <v>2.2999999999999998</v>
      </c>
      <c r="O26" s="103">
        <v>3.2</v>
      </c>
      <c r="P26" s="38"/>
      <c r="Q26" s="39"/>
    </row>
    <row r="27" spans="1:33" x14ac:dyDescent="0.25">
      <c r="A27" s="35" t="s">
        <v>87</v>
      </c>
      <c r="B27" s="20"/>
      <c r="C27" s="20"/>
      <c r="D27" s="20"/>
      <c r="E27" s="20"/>
      <c r="F27" s="20"/>
      <c r="G27" s="20"/>
      <c r="H27" s="20"/>
      <c r="I27" s="20"/>
      <c r="J27" s="51">
        <v>6.2</v>
      </c>
      <c r="K27" s="51">
        <v>4</v>
      </c>
      <c r="L27" s="52">
        <v>3</v>
      </c>
      <c r="M27" s="74">
        <v>2.8</v>
      </c>
      <c r="N27" s="20">
        <v>2.4</v>
      </c>
      <c r="O27" s="103">
        <v>3</v>
      </c>
      <c r="P27" s="102">
        <v>3.3</v>
      </c>
      <c r="Q27" s="46"/>
    </row>
    <row r="28" spans="1:33" s="29" customFormat="1" x14ac:dyDescent="0.25">
      <c r="A28" s="73" t="s">
        <v>113</v>
      </c>
      <c r="B28" s="38"/>
      <c r="C28" s="38"/>
      <c r="D28" s="38"/>
      <c r="E28" s="38"/>
      <c r="F28" s="38"/>
      <c r="G28" s="38"/>
      <c r="H28" s="38"/>
      <c r="I28" s="38"/>
      <c r="J28" s="52"/>
      <c r="K28" s="52">
        <v>4</v>
      </c>
      <c r="L28" s="52">
        <v>3</v>
      </c>
      <c r="M28" s="77">
        <v>2.4</v>
      </c>
      <c r="N28" s="55">
        <v>2.7</v>
      </c>
      <c r="O28" s="20">
        <v>2.8</v>
      </c>
      <c r="P28" s="103">
        <v>3.1</v>
      </c>
      <c r="Q28" s="46"/>
    </row>
    <row r="29" spans="1:33" s="29" customFormat="1" x14ac:dyDescent="0.25">
      <c r="A29" s="73" t="s">
        <v>114</v>
      </c>
      <c r="B29" s="38"/>
      <c r="C29" s="38"/>
      <c r="D29" s="38"/>
      <c r="E29" s="38"/>
      <c r="F29" s="38"/>
      <c r="G29" s="38"/>
      <c r="H29" s="38"/>
      <c r="I29" s="38"/>
      <c r="J29" s="52"/>
      <c r="K29" s="52"/>
      <c r="L29" s="77">
        <v>2.9</v>
      </c>
      <c r="M29" s="77">
        <v>2.1</v>
      </c>
      <c r="N29" s="74">
        <v>2.7</v>
      </c>
      <c r="O29" s="20">
        <v>1.9</v>
      </c>
      <c r="P29" s="103">
        <v>2.8</v>
      </c>
      <c r="Q29" s="46"/>
    </row>
    <row r="30" spans="1:33" s="29" customFormat="1" x14ac:dyDescent="0.25">
      <c r="A30" s="73" t="s">
        <v>115</v>
      </c>
      <c r="B30" s="38"/>
      <c r="C30" s="38"/>
      <c r="D30" s="38"/>
      <c r="E30" s="38"/>
      <c r="F30" s="38"/>
      <c r="G30" s="38"/>
      <c r="H30" s="38"/>
      <c r="I30" s="38"/>
      <c r="J30" s="52"/>
      <c r="K30" s="52"/>
      <c r="L30" s="52">
        <v>2.6</v>
      </c>
      <c r="M30" s="52">
        <v>2.1</v>
      </c>
      <c r="N30" s="52">
        <v>2.7</v>
      </c>
      <c r="O30" s="55">
        <v>2</v>
      </c>
      <c r="P30" s="20">
        <v>3.2</v>
      </c>
      <c r="Q30" s="46"/>
    </row>
    <row r="31" spans="1:33" s="29" customFormat="1" x14ac:dyDescent="0.25">
      <c r="A31" s="73" t="s">
        <v>116</v>
      </c>
      <c r="B31" s="38"/>
      <c r="C31" s="38"/>
      <c r="D31" s="38"/>
      <c r="E31" s="38"/>
      <c r="F31" s="38"/>
      <c r="G31" s="38"/>
      <c r="H31" s="38"/>
      <c r="I31" s="38"/>
      <c r="J31" s="52"/>
      <c r="K31" s="52"/>
      <c r="L31" s="50"/>
      <c r="M31" s="52">
        <v>1.9</v>
      </c>
      <c r="N31" s="52">
        <v>2.8</v>
      </c>
      <c r="O31" s="74">
        <v>2.1</v>
      </c>
      <c r="P31" s="20">
        <v>4.2</v>
      </c>
      <c r="Q31" s="46"/>
    </row>
    <row r="32" spans="1:33" x14ac:dyDescent="0.25">
      <c r="A32" s="35"/>
      <c r="B32" s="20"/>
      <c r="C32" s="20"/>
      <c r="D32" s="20"/>
      <c r="E32" s="20"/>
      <c r="F32" s="20"/>
      <c r="G32" s="20"/>
      <c r="H32" s="20"/>
      <c r="I32" s="20"/>
      <c r="J32" s="51"/>
      <c r="K32" s="51"/>
      <c r="L32" s="52"/>
      <c r="M32" s="38"/>
      <c r="N32" s="38"/>
      <c r="O32" s="38"/>
      <c r="P32" s="38"/>
      <c r="Q32" s="46"/>
    </row>
    <row r="33" spans="1:19" x14ac:dyDescent="0.25">
      <c r="A33" s="100" t="s">
        <v>91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</row>
    <row r="34" spans="1:19" x14ac:dyDescent="0.25">
      <c r="A34" s="41" t="s">
        <v>92</v>
      </c>
      <c r="B34" s="39">
        <v>8.43</v>
      </c>
      <c r="C34" s="20">
        <v>8.3358815974557992</v>
      </c>
      <c r="D34" s="20">
        <v>10.696946724947189</v>
      </c>
      <c r="E34" s="20">
        <v>11.889670848450407</v>
      </c>
      <c r="F34" s="20">
        <v>9.9790340013803593</v>
      </c>
      <c r="G34" s="20">
        <v>-3.5474933099675496</v>
      </c>
      <c r="H34" s="20">
        <v>-14.401900365832706</v>
      </c>
      <c r="I34" s="20">
        <v>-3.9403956888700851</v>
      </c>
      <c r="J34" s="20">
        <v>6.3811045252989835</v>
      </c>
      <c r="K34" s="20">
        <v>4.0342161031816177</v>
      </c>
      <c r="L34" s="20">
        <v>2.5800141647836496</v>
      </c>
      <c r="M34" s="20">
        <v>1.912151499210937</v>
      </c>
      <c r="N34" s="20">
        <v>2.8369938317805299</v>
      </c>
      <c r="O34" s="20">
        <v>2.0754776170906877</v>
      </c>
      <c r="P34" s="43"/>
      <c r="Q34" s="43"/>
    </row>
    <row r="35" spans="1:19" x14ac:dyDescent="0.25">
      <c r="A35" s="41" t="s">
        <v>93</v>
      </c>
      <c r="B35" s="39">
        <v>7.7</v>
      </c>
      <c r="C35" s="39">
        <v>8.8000000000000007</v>
      </c>
      <c r="D35" s="39">
        <v>10.1</v>
      </c>
      <c r="E35" s="39">
        <v>11</v>
      </c>
      <c r="F35" s="39">
        <v>10</v>
      </c>
      <c r="G35" s="39">
        <v>-2.8</v>
      </c>
      <c r="H35" s="39">
        <v>-17.7</v>
      </c>
      <c r="I35" s="39">
        <v>-1.3</v>
      </c>
      <c r="J35" s="39">
        <v>5.3</v>
      </c>
      <c r="K35" s="39">
        <v>5.2</v>
      </c>
      <c r="L35" s="39">
        <v>4.0999999999999996</v>
      </c>
      <c r="M35" s="39" t="s">
        <v>111</v>
      </c>
      <c r="N35" s="39" t="s">
        <v>111</v>
      </c>
      <c r="O35" s="39" t="s">
        <v>111</v>
      </c>
      <c r="P35" s="39"/>
      <c r="Q35" s="39"/>
      <c r="R35" s="39"/>
      <c r="S35" s="39"/>
    </row>
  </sheetData>
  <mergeCells count="3">
    <mergeCell ref="S2:W2"/>
    <mergeCell ref="X2:AB2"/>
    <mergeCell ref="AC2:AG2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zoomScale="80" zoomScaleNormal="80" workbookViewId="0">
      <selection activeCell="A6" sqref="A6"/>
    </sheetView>
  </sheetViews>
  <sheetFormatPr defaultRowHeight="15" x14ac:dyDescent="0.25"/>
  <cols>
    <col min="1" max="1" width="20.5703125" customWidth="1"/>
    <col min="2" max="10" width="8.42578125" customWidth="1"/>
    <col min="11" max="11" width="1.85546875" customWidth="1"/>
    <col min="12" max="12" width="20.5703125" customWidth="1"/>
    <col min="13" max="21" width="8.42578125" customWidth="1"/>
  </cols>
  <sheetData>
    <row r="1" spans="1:21" s="58" customFormat="1" ht="31.5" customHeight="1" x14ac:dyDescent="0.25">
      <c r="A1" s="129" t="s">
        <v>163</v>
      </c>
      <c r="B1" s="127" t="s">
        <v>118</v>
      </c>
      <c r="C1" s="127"/>
      <c r="D1" s="128"/>
      <c r="E1" s="127" t="s">
        <v>119</v>
      </c>
      <c r="F1" s="127"/>
      <c r="G1" s="128"/>
      <c r="H1" s="127" t="s">
        <v>120</v>
      </c>
      <c r="I1" s="127"/>
      <c r="J1" s="128"/>
      <c r="L1" s="129" t="s">
        <v>162</v>
      </c>
      <c r="M1" s="127" t="s">
        <v>121</v>
      </c>
      <c r="N1" s="127"/>
      <c r="O1" s="128"/>
      <c r="P1" s="126" t="s">
        <v>122</v>
      </c>
      <c r="Q1" s="127"/>
      <c r="R1" s="128"/>
      <c r="S1" s="126" t="s">
        <v>123</v>
      </c>
      <c r="T1" s="127"/>
      <c r="U1" s="128"/>
    </row>
    <row r="2" spans="1:21" ht="129" customHeight="1" thickBot="1" x14ac:dyDescent="0.3">
      <c r="A2" s="130"/>
      <c r="B2" s="59" t="s">
        <v>127</v>
      </c>
      <c r="C2" s="62" t="s">
        <v>164</v>
      </c>
      <c r="D2" s="63" t="s">
        <v>165</v>
      </c>
      <c r="E2" s="59" t="s">
        <v>127</v>
      </c>
      <c r="F2" s="62" t="s">
        <v>164</v>
      </c>
      <c r="G2" s="63" t="s">
        <v>165</v>
      </c>
      <c r="H2" s="59" t="s">
        <v>127</v>
      </c>
      <c r="I2" s="62" t="s">
        <v>164</v>
      </c>
      <c r="J2" s="63" t="s">
        <v>165</v>
      </c>
      <c r="L2" s="130"/>
      <c r="M2" s="59" t="s">
        <v>124</v>
      </c>
      <c r="N2" s="62" t="s">
        <v>166</v>
      </c>
      <c r="O2" s="63" t="s">
        <v>167</v>
      </c>
      <c r="P2" s="59" t="s">
        <v>124</v>
      </c>
      <c r="Q2" s="62" t="s">
        <v>166</v>
      </c>
      <c r="R2" s="63" t="s">
        <v>167</v>
      </c>
      <c r="S2" s="59" t="s">
        <v>124</v>
      </c>
      <c r="T2" s="62" t="s">
        <v>166</v>
      </c>
      <c r="U2" s="63" t="s">
        <v>167</v>
      </c>
    </row>
    <row r="3" spans="1:21" ht="15" customHeight="1" thickBot="1" x14ac:dyDescent="0.3">
      <c r="A3" s="65" t="s">
        <v>110</v>
      </c>
      <c r="B3" s="60">
        <f>'EC forecasts'!S19</f>
        <v>0.26153846153846161</v>
      </c>
      <c r="C3" s="61">
        <f>'EC forecasts'!U19</f>
        <v>-1.5333333333333332</v>
      </c>
      <c r="D3" s="64" t="s">
        <v>111</v>
      </c>
      <c r="E3" s="60">
        <f>'EC forecasts'!X19</f>
        <v>2.6461538461538456</v>
      </c>
      <c r="F3" s="61">
        <f>'EC forecasts'!Z19</f>
        <v>4.6833333333333345</v>
      </c>
      <c r="G3" s="64" t="s">
        <v>111</v>
      </c>
      <c r="H3" s="60">
        <f>'EC forecasts'!AC19</f>
        <v>3.4013571951841177</v>
      </c>
      <c r="I3" s="61">
        <f>'EC forecasts'!AE19</f>
        <v>7.343591310342191</v>
      </c>
      <c r="J3" s="64" t="s">
        <v>111</v>
      </c>
      <c r="L3" s="65" t="s">
        <v>126</v>
      </c>
      <c r="M3" s="60">
        <f t="shared" ref="M3:U5" si="0">B3</f>
        <v>0.26153846153846161</v>
      </c>
      <c r="N3" s="61">
        <f t="shared" si="0"/>
        <v>-1.5333333333333332</v>
      </c>
      <c r="O3" s="64" t="str">
        <f t="shared" si="0"/>
        <v>N/A</v>
      </c>
      <c r="P3" s="60">
        <f t="shared" si="0"/>
        <v>2.6461538461538456</v>
      </c>
      <c r="Q3" s="61">
        <f t="shared" si="0"/>
        <v>4.6833333333333345</v>
      </c>
      <c r="R3" s="64" t="str">
        <f t="shared" si="0"/>
        <v>N/A</v>
      </c>
      <c r="S3" s="60">
        <f t="shared" si="0"/>
        <v>3.4013571951841177</v>
      </c>
      <c r="T3" s="61">
        <f t="shared" si="0"/>
        <v>7.343591310342191</v>
      </c>
      <c r="U3" s="64" t="str">
        <f t="shared" si="0"/>
        <v>N/A</v>
      </c>
    </row>
    <row r="4" spans="1:21" ht="16.5" thickBot="1" x14ac:dyDescent="0.3">
      <c r="A4" s="65" t="s">
        <v>109</v>
      </c>
      <c r="B4" s="60">
        <f>'EC forecasts'!T19</f>
        <v>0.11538461538461556</v>
      </c>
      <c r="C4" s="61">
        <f>'EC forecasts'!V19</f>
        <v>-0.95000000000000007</v>
      </c>
      <c r="D4" s="64">
        <f>'EC forecasts'!W19</f>
        <v>-2.6454545454545455</v>
      </c>
      <c r="E4" s="60">
        <f>'EC forecasts'!Y19</f>
        <v>0.73076923076923073</v>
      </c>
      <c r="F4" s="61">
        <f>'EC forecasts'!AA19</f>
        <v>3.9666666666666672</v>
      </c>
      <c r="G4" s="64">
        <f>'EC forecasts'!AB19</f>
        <v>5.0272727272727273</v>
      </c>
      <c r="H4" s="60">
        <f>'EC forecasts'!AD19</f>
        <v>1.2041594578792296</v>
      </c>
      <c r="I4" s="61">
        <f>'EC forecasts'!AF19</f>
        <v>6.0059692528905497</v>
      </c>
      <c r="J4" s="64">
        <f>'EC forecasts'!AG19</f>
        <v>8.5406514548204857</v>
      </c>
      <c r="L4" s="65" t="s">
        <v>125</v>
      </c>
      <c r="M4" s="60">
        <f t="shared" si="0"/>
        <v>0.11538461538461556</v>
      </c>
      <c r="N4" s="61">
        <f t="shared" si="0"/>
        <v>-0.95000000000000007</v>
      </c>
      <c r="O4" s="64">
        <f t="shared" si="0"/>
        <v>-2.6454545454545455</v>
      </c>
      <c r="P4" s="60">
        <f t="shared" si="0"/>
        <v>0.73076923076923073</v>
      </c>
      <c r="Q4" s="61">
        <f t="shared" si="0"/>
        <v>3.9666666666666672</v>
      </c>
      <c r="R4" s="64">
        <f t="shared" si="0"/>
        <v>5.0272727272727273</v>
      </c>
      <c r="S4" s="60">
        <f t="shared" si="0"/>
        <v>1.2041594578792296</v>
      </c>
      <c r="T4" s="61">
        <f t="shared" si="0"/>
        <v>6.0059692528905497</v>
      </c>
      <c r="U4" s="64">
        <f t="shared" si="0"/>
        <v>8.5406514548204857</v>
      </c>
    </row>
    <row r="5" spans="1:21" ht="14.45" customHeight="1" thickBot="1" x14ac:dyDescent="0.3">
      <c r="A5" s="65" t="s">
        <v>117</v>
      </c>
      <c r="B5" s="60">
        <f>'MoF forecasts'!AP71</f>
        <v>0.12307692307692318</v>
      </c>
      <c r="C5" s="61">
        <f>'MoF forecasts'!AT71</f>
        <v>-1.3583333333333332</v>
      </c>
      <c r="D5" s="64">
        <f>'MoF forecasts'!AX71</f>
        <v>-2.9636363636363638</v>
      </c>
      <c r="E5" s="60">
        <f>'MoF forecasts'!AQ71</f>
        <v>1.1846153846153846</v>
      </c>
      <c r="F5" s="61">
        <f>'MoF forecasts'!AU71</f>
        <v>4.4749999999999996</v>
      </c>
      <c r="G5" s="64">
        <f>'MoF forecasts'!AY71</f>
        <v>5.5090909090909088</v>
      </c>
      <c r="H5" s="60">
        <f>'MoF forecasts'!AR71</f>
        <v>1.9339079605813716</v>
      </c>
      <c r="I5" s="61">
        <f>'MoF forecasts'!AV71</f>
        <v>7.1434702117854929</v>
      </c>
      <c r="J5" s="64">
        <f>'MoF forecasts'!AZ71</f>
        <v>8.947015754378155</v>
      </c>
      <c r="L5" s="65" t="s">
        <v>130</v>
      </c>
      <c r="M5" s="60">
        <f t="shared" si="0"/>
        <v>0.12307692307692318</v>
      </c>
      <c r="N5" s="61">
        <f t="shared" si="0"/>
        <v>-1.3583333333333332</v>
      </c>
      <c r="O5" s="64">
        <f t="shared" si="0"/>
        <v>-2.9636363636363638</v>
      </c>
      <c r="P5" s="60">
        <f t="shared" si="0"/>
        <v>1.1846153846153846</v>
      </c>
      <c r="Q5" s="61">
        <f t="shared" si="0"/>
        <v>4.4749999999999996</v>
      </c>
      <c r="R5" s="64">
        <f t="shared" si="0"/>
        <v>5.5090909090909088</v>
      </c>
      <c r="S5" s="60">
        <f t="shared" si="0"/>
        <v>1.9339079605813716</v>
      </c>
      <c r="T5" s="61">
        <f t="shared" si="0"/>
        <v>7.1434702117854929</v>
      </c>
      <c r="U5" s="64">
        <f t="shared" si="0"/>
        <v>8.947015754378155</v>
      </c>
    </row>
    <row r="8" spans="1:21" x14ac:dyDescent="0.25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</row>
    <row r="9" spans="1:21" x14ac:dyDescent="0.25"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</row>
    <row r="10" spans="1:21" x14ac:dyDescent="0.25"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</row>
    <row r="11" spans="1:21" x14ac:dyDescent="0.25"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</row>
    <row r="12" spans="1:21" x14ac:dyDescent="0.25"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</row>
    <row r="13" spans="1:21" x14ac:dyDescent="0.25">
      <c r="A13" s="97"/>
      <c r="B13" s="97"/>
      <c r="C13" s="97"/>
      <c r="D13" s="97"/>
      <c r="E13" s="97"/>
      <c r="F13" s="97"/>
      <c r="G13" s="97"/>
    </row>
    <row r="14" spans="1:21" x14ac:dyDescent="0.25">
      <c r="A14" s="97"/>
      <c r="B14" s="97"/>
      <c r="C14" s="97"/>
      <c r="D14" s="97"/>
    </row>
    <row r="15" spans="1:21" x14ac:dyDescent="0.25">
      <c r="D15" s="20"/>
    </row>
    <row r="16" spans="1:21" x14ac:dyDescent="0.25">
      <c r="D16" s="20"/>
    </row>
    <row r="17" spans="1:7" x14ac:dyDescent="0.25">
      <c r="D17" s="20"/>
    </row>
    <row r="18" spans="1:7" x14ac:dyDescent="0.25">
      <c r="D18" s="20"/>
    </row>
    <row r="19" spans="1:7" x14ac:dyDescent="0.25">
      <c r="A19" s="97"/>
      <c r="B19" s="97"/>
      <c r="C19" s="97"/>
      <c r="D19" s="97"/>
      <c r="E19" s="97"/>
      <c r="F19" s="97"/>
      <c r="G19" s="97"/>
    </row>
    <row r="20" spans="1:7" x14ac:dyDescent="0.25">
      <c r="A20" s="97"/>
      <c r="B20" s="97"/>
      <c r="C20" s="97"/>
      <c r="D20" s="97"/>
    </row>
    <row r="21" spans="1:7" x14ac:dyDescent="0.25">
      <c r="D21" s="20"/>
    </row>
    <row r="22" spans="1:7" x14ac:dyDescent="0.25">
      <c r="D22" s="20"/>
    </row>
    <row r="23" spans="1:7" x14ac:dyDescent="0.25">
      <c r="D23" s="20"/>
    </row>
    <row r="24" spans="1:7" x14ac:dyDescent="0.25">
      <c r="D24" s="20"/>
    </row>
    <row r="25" spans="1:7" x14ac:dyDescent="0.25">
      <c r="A25" s="97"/>
      <c r="B25" s="97"/>
      <c r="C25" s="97"/>
      <c r="D25" s="97"/>
      <c r="E25" s="97"/>
      <c r="F25" s="97"/>
      <c r="G25" s="97"/>
    </row>
    <row r="26" spans="1:7" x14ac:dyDescent="0.25">
      <c r="A26" s="97"/>
      <c r="B26" s="97"/>
      <c r="C26" s="97"/>
      <c r="D26" s="97"/>
    </row>
    <row r="27" spans="1:7" x14ac:dyDescent="0.25">
      <c r="D27" s="20"/>
    </row>
    <row r="28" spans="1:7" x14ac:dyDescent="0.25">
      <c r="D28" s="20"/>
    </row>
    <row r="29" spans="1:7" x14ac:dyDescent="0.25">
      <c r="D29" s="20"/>
    </row>
    <row r="30" spans="1:7" x14ac:dyDescent="0.25">
      <c r="D30" s="20"/>
    </row>
  </sheetData>
  <mergeCells count="8">
    <mergeCell ref="P1:R1"/>
    <mergeCell ref="S1:U1"/>
    <mergeCell ref="A1:A2"/>
    <mergeCell ref="B1:D1"/>
    <mergeCell ref="E1:G1"/>
    <mergeCell ref="H1:J1"/>
    <mergeCell ref="L1:L2"/>
    <mergeCell ref="M1:O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9"/>
  <sheetViews>
    <sheetView zoomScale="55" zoomScaleNormal="55" workbookViewId="0"/>
  </sheetViews>
  <sheetFormatPr defaultRowHeight="15" x14ac:dyDescent="0.25"/>
  <cols>
    <col min="1" max="1" width="22.5703125" customWidth="1"/>
    <col min="2" max="3" width="13" bestFit="1" customWidth="1"/>
    <col min="4" max="13" width="12.7109375" bestFit="1" customWidth="1"/>
    <col min="14" max="14" width="13" customWidth="1"/>
    <col min="15" max="16" width="12.85546875" bestFit="1" customWidth="1"/>
    <col min="17" max="17" width="12.7109375" bestFit="1" customWidth="1"/>
    <col min="18" max="18" width="14.42578125" bestFit="1" customWidth="1"/>
  </cols>
  <sheetData>
    <row r="1" spans="1:18" x14ac:dyDescent="0.25">
      <c r="A1" t="s">
        <v>169</v>
      </c>
    </row>
    <row r="2" spans="1:18" x14ac:dyDescent="0.25">
      <c r="B2" s="113" t="s">
        <v>61</v>
      </c>
      <c r="C2" s="113" t="s">
        <v>62</v>
      </c>
      <c r="D2" s="113" t="s">
        <v>63</v>
      </c>
      <c r="E2" s="113" t="s">
        <v>51</v>
      </c>
      <c r="F2" s="113" t="s">
        <v>52</v>
      </c>
      <c r="G2" s="113" t="s">
        <v>50</v>
      </c>
      <c r="H2" s="113" t="s">
        <v>33</v>
      </c>
      <c r="I2" s="113" t="s">
        <v>34</v>
      </c>
      <c r="J2" s="113" t="s">
        <v>35</v>
      </c>
      <c r="K2" s="113" t="s">
        <v>36</v>
      </c>
      <c r="L2" s="113" t="s">
        <v>37</v>
      </c>
      <c r="M2" s="113" t="s">
        <v>38</v>
      </c>
      <c r="N2" s="113" t="s">
        <v>39</v>
      </c>
      <c r="O2" s="113" t="s">
        <v>40</v>
      </c>
      <c r="P2" s="113" t="s">
        <v>147</v>
      </c>
      <c r="Q2" s="113" t="s">
        <v>148</v>
      </c>
      <c r="R2" s="113" t="s">
        <v>149</v>
      </c>
    </row>
    <row r="3" spans="1:18" x14ac:dyDescent="0.25">
      <c r="A3" t="s">
        <v>170</v>
      </c>
      <c r="B3" s="114">
        <v>2010326873</v>
      </c>
      <c r="C3" s="114">
        <v>2672670225</v>
      </c>
      <c r="D3" s="114">
        <v>3324866956</v>
      </c>
      <c r="E3" s="114">
        <v>4427955782</v>
      </c>
      <c r="F3" s="114">
        <v>4615593590</v>
      </c>
      <c r="G3" s="114">
        <v>3801330772</v>
      </c>
      <c r="H3" s="114">
        <v>3731832098</v>
      </c>
      <c r="I3" s="114">
        <v>4139391496</v>
      </c>
      <c r="J3" s="114">
        <v>4845860310</v>
      </c>
      <c r="K3" s="114">
        <f>4839749880</f>
        <v>4839749880</v>
      </c>
      <c r="L3" s="114">
        <v>4939232197</v>
      </c>
      <c r="M3" s="114">
        <v>5093098527</v>
      </c>
      <c r="N3" s="114">
        <v>5161405224</v>
      </c>
      <c r="O3" s="114"/>
      <c r="P3" s="114"/>
      <c r="Q3" s="114"/>
      <c r="R3" s="114"/>
    </row>
    <row r="4" spans="1:18" x14ac:dyDescent="0.25">
      <c r="A4" t="s">
        <v>171</v>
      </c>
      <c r="B4" s="114">
        <f>B5</f>
        <v>1888236802.8639565</v>
      </c>
      <c r="C4" s="114">
        <f>C6</f>
        <v>2669114403.1621904</v>
      </c>
      <c r="D4" s="114">
        <f>D7</f>
        <v>3406781976.1982002</v>
      </c>
      <c r="E4" s="114">
        <f>E8</f>
        <v>4489160562.5465994</v>
      </c>
      <c r="F4" s="114">
        <f>F9</f>
        <v>5874326270.1976652</v>
      </c>
      <c r="G4" s="114">
        <f>G10</f>
        <v>5261210806.9959764</v>
      </c>
      <c r="H4" s="114">
        <f>H11</f>
        <v>3733469847.5591145</v>
      </c>
      <c r="I4" s="114">
        <f>I12</f>
        <v>4228205872.4765368</v>
      </c>
      <c r="J4" s="114">
        <f>J13</f>
        <v>4652506246.4072485</v>
      </c>
      <c r="K4" s="114">
        <f>K14</f>
        <v>4742716319.2013702</v>
      </c>
      <c r="L4" s="114">
        <f>L15</f>
        <v>5047200000</v>
      </c>
      <c r="M4" s="114">
        <f>M16</f>
        <v>5154000000</v>
      </c>
      <c r="N4" s="114">
        <f>N17</f>
        <v>5247700000</v>
      </c>
      <c r="O4" s="114">
        <f>O18</f>
        <v>5720400000</v>
      </c>
      <c r="P4" s="114">
        <f>P19</f>
        <v>6160500000</v>
      </c>
    </row>
    <row r="5" spans="1:18" x14ac:dyDescent="0.25">
      <c r="A5" s="99" t="s">
        <v>172</v>
      </c>
      <c r="B5" s="114">
        <f>1327060378/0.702804</f>
        <v>1888236802.8639565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</row>
    <row r="6" spans="1:18" x14ac:dyDescent="0.25">
      <c r="A6" s="99" t="s">
        <v>172</v>
      </c>
      <c r="B6" s="114"/>
      <c r="C6" s="114">
        <f>1875864279/0.702804</f>
        <v>2669114403.1621904</v>
      </c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</row>
    <row r="7" spans="1:18" x14ac:dyDescent="0.25">
      <c r="A7" s="99" t="s">
        <v>172</v>
      </c>
      <c r="B7" s="114"/>
      <c r="C7" s="114"/>
      <c r="D7" s="114">
        <f>2394300000/0.702804</f>
        <v>3406781976.1982002</v>
      </c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</row>
    <row r="8" spans="1:18" x14ac:dyDescent="0.25">
      <c r="A8" s="99" t="s">
        <v>172</v>
      </c>
      <c r="B8" s="114"/>
      <c r="C8" s="114"/>
      <c r="D8" s="114"/>
      <c r="E8" s="114">
        <f>3155000000/0.702804</f>
        <v>4489160562.5465994</v>
      </c>
      <c r="F8" s="114"/>
      <c r="G8" s="114"/>
      <c r="H8" s="114"/>
      <c r="I8" s="114"/>
      <c r="J8" s="114"/>
      <c r="K8" s="114"/>
      <c r="L8" s="114"/>
      <c r="M8" s="114"/>
      <c r="N8" s="114"/>
      <c r="O8" s="114"/>
    </row>
    <row r="9" spans="1:18" x14ac:dyDescent="0.25">
      <c r="A9" s="99" t="s">
        <v>172</v>
      </c>
      <c r="B9" s="114"/>
      <c r="C9" s="114"/>
      <c r="D9" s="114"/>
      <c r="E9" s="114"/>
      <c r="F9" s="114">
        <f>4128500000/0.702804</f>
        <v>5874326270.1976652</v>
      </c>
      <c r="G9" s="114"/>
      <c r="H9" s="114"/>
      <c r="I9" s="114"/>
      <c r="J9" s="114"/>
      <c r="K9" s="114"/>
      <c r="L9" s="114"/>
      <c r="M9" s="114"/>
      <c r="N9" s="114"/>
      <c r="O9" s="114"/>
    </row>
    <row r="10" spans="1:18" x14ac:dyDescent="0.25">
      <c r="A10" s="99" t="s">
        <v>172</v>
      </c>
      <c r="B10" s="114"/>
      <c r="C10" s="114"/>
      <c r="D10" s="114"/>
      <c r="E10" s="114"/>
      <c r="F10" s="114"/>
      <c r="G10" s="114">
        <f>3697600000/0.702804</f>
        <v>5261210806.9959764</v>
      </c>
      <c r="H10" s="114"/>
      <c r="I10" s="114"/>
      <c r="J10" s="114"/>
      <c r="K10" s="114"/>
      <c r="L10" s="114"/>
      <c r="M10" s="114"/>
      <c r="N10" s="114"/>
      <c r="O10" s="114"/>
    </row>
    <row r="11" spans="1:18" x14ac:dyDescent="0.25">
      <c r="A11" s="99" t="s">
        <v>172</v>
      </c>
      <c r="B11" s="114"/>
      <c r="C11" s="114"/>
      <c r="D11" s="114"/>
      <c r="E11" s="114"/>
      <c r="F11" s="114"/>
      <c r="G11" s="114"/>
      <c r="H11" s="114">
        <f>2691100000/0.720804</f>
        <v>3733469847.5591145</v>
      </c>
      <c r="I11" s="114"/>
      <c r="J11" s="114"/>
      <c r="K11" s="114"/>
      <c r="L11" s="114"/>
      <c r="M11" s="114"/>
      <c r="N11" s="114"/>
      <c r="O11" s="114"/>
    </row>
    <row r="12" spans="1:18" x14ac:dyDescent="0.25">
      <c r="A12" s="99" t="s">
        <v>172</v>
      </c>
      <c r="B12" s="114"/>
      <c r="C12" s="114"/>
      <c r="D12" s="114"/>
      <c r="E12" s="114"/>
      <c r="F12" s="114"/>
      <c r="G12" s="114"/>
      <c r="H12" s="114"/>
      <c r="I12" s="114">
        <f>2971600000/0.702804</f>
        <v>4228205872.4765368</v>
      </c>
      <c r="J12" s="114"/>
      <c r="K12" s="114"/>
      <c r="L12" s="114"/>
      <c r="M12" s="114"/>
      <c r="N12" s="114"/>
      <c r="O12" s="114"/>
    </row>
    <row r="13" spans="1:18" x14ac:dyDescent="0.25">
      <c r="A13" s="99" t="s">
        <v>172</v>
      </c>
      <c r="B13" s="114"/>
      <c r="C13" s="114"/>
      <c r="D13" s="114"/>
      <c r="E13" s="114"/>
      <c r="F13" s="114"/>
      <c r="G13" s="114"/>
      <c r="H13" s="114"/>
      <c r="I13" s="114"/>
      <c r="J13" s="114">
        <f>3269800000/0.702804</f>
        <v>4652506246.4072485</v>
      </c>
      <c r="K13" s="114"/>
      <c r="L13" s="114"/>
      <c r="M13" s="114"/>
      <c r="N13" s="114"/>
      <c r="O13" s="114"/>
    </row>
    <row r="14" spans="1:18" x14ac:dyDescent="0.25">
      <c r="A14" s="99" t="s">
        <v>172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>
        <f>3333200000/0.702804</f>
        <v>4742716319.2013702</v>
      </c>
      <c r="L14" s="114"/>
      <c r="M14" s="114"/>
      <c r="N14" s="114"/>
      <c r="O14" s="114"/>
    </row>
    <row r="15" spans="1:18" x14ac:dyDescent="0.25">
      <c r="A15" s="99" t="s">
        <v>172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>
        <v>5047200000</v>
      </c>
      <c r="M15" s="114">
        <v>5406100000</v>
      </c>
      <c r="N15" s="114">
        <v>4963400000</v>
      </c>
      <c r="O15" s="114"/>
    </row>
    <row r="16" spans="1:18" x14ac:dyDescent="0.25">
      <c r="A16" s="99" t="s">
        <v>172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5">
        <v>5154000000</v>
      </c>
      <c r="N16" s="115">
        <v>5182100000</v>
      </c>
      <c r="O16" s="115">
        <v>5228300000</v>
      </c>
      <c r="P16" s="116"/>
    </row>
    <row r="17" spans="1:18" x14ac:dyDescent="0.25">
      <c r="A17" s="99" t="s">
        <v>172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>
        <v>5247700000</v>
      </c>
      <c r="O17" s="114">
        <v>5572900000</v>
      </c>
      <c r="P17" s="114">
        <v>6244200000</v>
      </c>
    </row>
    <row r="18" spans="1:18" x14ac:dyDescent="0.25">
      <c r="A18" s="99" t="s">
        <v>172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>
        <v>5720400000</v>
      </c>
      <c r="P18" s="114">
        <v>6316500000</v>
      </c>
      <c r="Q18" s="114">
        <v>6302300000</v>
      </c>
    </row>
    <row r="19" spans="1:18" x14ac:dyDescent="0.25">
      <c r="A19" s="99" t="s">
        <v>172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>
        <v>6160500000</v>
      </c>
      <c r="Q19" s="114">
        <v>6386200000</v>
      </c>
      <c r="R19" s="114">
        <v>6971000000</v>
      </c>
    </row>
    <row r="20" spans="1:18" x14ac:dyDescent="0.25">
      <c r="A20" t="s">
        <v>172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</row>
    <row r="21" spans="1:18" x14ac:dyDescent="0.25">
      <c r="A21" t="s">
        <v>172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</row>
    <row r="22" spans="1:18" x14ac:dyDescent="0.25">
      <c r="A22" t="s">
        <v>172</v>
      </c>
    </row>
    <row r="26" spans="1:18" x14ac:dyDescent="0.25">
      <c r="A26" t="s">
        <v>173</v>
      </c>
    </row>
    <row r="27" spans="1:18" x14ac:dyDescent="0.25">
      <c r="B27" s="112" t="s">
        <v>61</v>
      </c>
      <c r="C27" s="112" t="s">
        <v>62</v>
      </c>
      <c r="D27" s="112" t="s">
        <v>63</v>
      </c>
      <c r="E27" s="112" t="s">
        <v>51</v>
      </c>
      <c r="F27" s="112" t="s">
        <v>52</v>
      </c>
      <c r="G27" s="112" t="s">
        <v>50</v>
      </c>
      <c r="H27" s="112" t="s">
        <v>33</v>
      </c>
      <c r="I27" s="112" t="s">
        <v>34</v>
      </c>
      <c r="J27" s="112" t="s">
        <v>35</v>
      </c>
      <c r="K27" s="112" t="s">
        <v>36</v>
      </c>
      <c r="L27" s="112" t="s">
        <v>37</v>
      </c>
      <c r="M27" s="112" t="s">
        <v>38</v>
      </c>
      <c r="N27" s="1" t="s">
        <v>39</v>
      </c>
      <c r="O27" s="1" t="s">
        <v>40</v>
      </c>
      <c r="P27" s="80" t="s">
        <v>147</v>
      </c>
      <c r="Q27" s="80" t="s">
        <v>148</v>
      </c>
      <c r="R27" s="80" t="s">
        <v>149</v>
      </c>
    </row>
    <row r="28" spans="1:18" x14ac:dyDescent="0.25">
      <c r="A28" t="s">
        <v>174</v>
      </c>
      <c r="B28" s="114">
        <v>936194892</v>
      </c>
      <c r="C28" s="114">
        <v>1094568283</v>
      </c>
      <c r="D28" s="114">
        <v>1394951857</v>
      </c>
      <c r="E28" s="114">
        <v>1838465587</v>
      </c>
      <c r="F28" s="114">
        <v>2050538407</v>
      </c>
      <c r="G28" s="114">
        <v>1776399657</v>
      </c>
      <c r="H28" s="114">
        <v>1676295998</v>
      </c>
      <c r="I28" s="114">
        <v>1785516533</v>
      </c>
      <c r="J28" s="114">
        <v>1924682582</v>
      </c>
      <c r="K28" s="114">
        <v>2036256899</v>
      </c>
      <c r="L28" s="114">
        <v>2222106328</v>
      </c>
      <c r="M28" s="114">
        <v>2294241041</v>
      </c>
      <c r="N28" s="114">
        <v>2338136366</v>
      </c>
      <c r="O28" s="114"/>
      <c r="P28" s="114"/>
      <c r="Q28" s="114"/>
      <c r="R28" s="114"/>
    </row>
    <row r="29" spans="1:18" x14ac:dyDescent="0.25">
      <c r="A29" t="s">
        <v>175</v>
      </c>
      <c r="B29" s="114">
        <f>B30</f>
        <v>878093155.4174422</v>
      </c>
      <c r="C29" s="114">
        <f>C31</f>
        <v>1017063781.6517835</v>
      </c>
      <c r="D29" s="114">
        <f>D32</f>
        <v>1222246885.3336065</v>
      </c>
      <c r="E29" s="114">
        <f>E33</f>
        <v>1536986129.8455899</v>
      </c>
      <c r="F29" s="114">
        <f>F34</f>
        <v>1974234637.2530606</v>
      </c>
      <c r="G29" s="114">
        <f>G35</f>
        <v>2534846130.6423984</v>
      </c>
      <c r="H29" s="114">
        <f>H36</f>
        <v>1691225434.1181896</v>
      </c>
      <c r="I29" s="114">
        <f>I37</f>
        <v>1704031280.4138849</v>
      </c>
      <c r="J29" s="114">
        <f>J38</f>
        <v>1805624327.6930695</v>
      </c>
      <c r="K29" s="114">
        <f>K39</f>
        <v>1948196083.1184797</v>
      </c>
      <c r="L29" s="114">
        <f>L40</f>
        <v>2206700000</v>
      </c>
      <c r="M29" s="114">
        <f>M41</f>
        <v>2309900000</v>
      </c>
      <c r="N29" s="114">
        <f>N42</f>
        <v>2347200000</v>
      </c>
      <c r="O29" s="114">
        <f>O43</f>
        <v>2486100000</v>
      </c>
      <c r="P29" s="114">
        <f>P44</f>
        <v>2777100000</v>
      </c>
      <c r="Q29" s="114"/>
      <c r="R29" s="114"/>
    </row>
    <row r="30" spans="1:18" x14ac:dyDescent="0.25">
      <c r="A30" s="99" t="s">
        <v>172</v>
      </c>
      <c r="B30" s="114">
        <f>617127382/0.702804</f>
        <v>878093155.4174422</v>
      </c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</row>
    <row r="31" spans="1:18" x14ac:dyDescent="0.25">
      <c r="A31" s="99" t="s">
        <v>172</v>
      </c>
      <c r="B31" s="114"/>
      <c r="C31" s="114">
        <f>714796494/0.702804</f>
        <v>1017063781.6517835</v>
      </c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</row>
    <row r="32" spans="1:18" x14ac:dyDescent="0.25">
      <c r="A32" s="99" t="s">
        <v>172</v>
      </c>
      <c r="B32" s="114"/>
      <c r="C32" s="114"/>
      <c r="D32" s="114">
        <f>859000000/0.702804</f>
        <v>1222246885.3336065</v>
      </c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</row>
    <row r="33" spans="1:18" x14ac:dyDescent="0.25">
      <c r="A33" s="99" t="s">
        <v>172</v>
      </c>
      <c r="B33" s="114"/>
      <c r="C33" s="114"/>
      <c r="D33" s="114"/>
      <c r="E33" s="114">
        <f>1080200000/0.702804</f>
        <v>1536986129.8455899</v>
      </c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</row>
    <row r="34" spans="1:18" x14ac:dyDescent="0.25">
      <c r="A34" s="99" t="s">
        <v>172</v>
      </c>
      <c r="B34" s="114"/>
      <c r="C34" s="114"/>
      <c r="D34" s="114"/>
      <c r="E34" s="114"/>
      <c r="F34" s="114">
        <f>1387500000/0.702804</f>
        <v>1974234637.2530606</v>
      </c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</row>
    <row r="35" spans="1:18" x14ac:dyDescent="0.25">
      <c r="A35" s="99" t="s">
        <v>172</v>
      </c>
      <c r="B35" s="114"/>
      <c r="C35" s="114"/>
      <c r="D35" s="114"/>
      <c r="E35" s="114"/>
      <c r="F35" s="114"/>
      <c r="G35" s="114">
        <f>1781500000/0.702804</f>
        <v>2534846130.6423984</v>
      </c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</row>
    <row r="36" spans="1:18" x14ac:dyDescent="0.25">
      <c r="A36" s="99" t="s">
        <v>172</v>
      </c>
      <c r="B36" s="114"/>
      <c r="C36" s="114"/>
      <c r="D36" s="114"/>
      <c r="E36" s="114"/>
      <c r="F36" s="114"/>
      <c r="G36" s="114"/>
      <c r="H36" s="114">
        <f>1188600000/0.702804</f>
        <v>1691225434.1181896</v>
      </c>
      <c r="I36" s="114"/>
      <c r="J36" s="114"/>
      <c r="K36" s="114"/>
      <c r="L36" s="114"/>
      <c r="M36" s="114"/>
      <c r="N36" s="114"/>
      <c r="O36" s="114"/>
      <c r="P36" s="114"/>
      <c r="Q36" s="114"/>
      <c r="R36" s="114"/>
    </row>
    <row r="37" spans="1:18" x14ac:dyDescent="0.25">
      <c r="A37" s="99" t="s">
        <v>172</v>
      </c>
      <c r="B37" s="114"/>
      <c r="C37" s="114"/>
      <c r="D37" s="114"/>
      <c r="E37" s="114"/>
      <c r="F37" s="114"/>
      <c r="G37" s="114"/>
      <c r="H37" s="114"/>
      <c r="I37" s="114">
        <f>1197600000/0.702804</f>
        <v>1704031280.4138849</v>
      </c>
      <c r="J37" s="114"/>
      <c r="K37" s="114"/>
      <c r="L37" s="114"/>
      <c r="M37" s="114"/>
      <c r="N37" s="114"/>
      <c r="O37" s="114"/>
      <c r="P37" s="114"/>
      <c r="Q37" s="114"/>
      <c r="R37" s="114"/>
    </row>
    <row r="38" spans="1:18" x14ac:dyDescent="0.25">
      <c r="A38" s="99" t="s">
        <v>172</v>
      </c>
      <c r="B38" s="114"/>
      <c r="C38" s="114"/>
      <c r="D38" s="114"/>
      <c r="E38" s="114"/>
      <c r="F38" s="114"/>
      <c r="G38" s="114"/>
      <c r="H38" s="114"/>
      <c r="I38" s="114"/>
      <c r="J38" s="114">
        <f>1269000000/0.702804</f>
        <v>1805624327.6930695</v>
      </c>
      <c r="K38" s="114"/>
      <c r="L38" s="114"/>
      <c r="M38" s="114"/>
      <c r="N38" s="114"/>
      <c r="O38" s="114"/>
      <c r="P38" s="114"/>
      <c r="Q38" s="114"/>
      <c r="R38" s="114"/>
    </row>
    <row r="39" spans="1:18" x14ac:dyDescent="0.25">
      <c r="A39" s="99" t="s">
        <v>172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>
        <f>1369200000/0.702804</f>
        <v>1948196083.1184797</v>
      </c>
      <c r="L39" s="114"/>
      <c r="M39" s="114"/>
      <c r="N39" s="114"/>
      <c r="O39" s="114"/>
      <c r="P39" s="114"/>
      <c r="Q39" s="114"/>
      <c r="R39" s="114"/>
    </row>
    <row r="40" spans="1:18" x14ac:dyDescent="0.25">
      <c r="A40" s="99" t="s">
        <v>172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>
        <v>2206700000</v>
      </c>
      <c r="M40" s="114">
        <v>2248500000</v>
      </c>
      <c r="N40" s="114">
        <v>2289300000</v>
      </c>
      <c r="O40" s="114"/>
      <c r="P40" s="114"/>
      <c r="Q40" s="114"/>
      <c r="R40" s="114"/>
    </row>
    <row r="41" spans="1:18" x14ac:dyDescent="0.25">
      <c r="A41" s="99" t="s">
        <v>172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>
        <v>2309900000</v>
      </c>
      <c r="N41" s="114">
        <v>2347300000</v>
      </c>
      <c r="O41" s="114">
        <v>2451700000</v>
      </c>
      <c r="P41" s="114"/>
      <c r="Q41" s="114"/>
      <c r="R41" s="114"/>
    </row>
    <row r="42" spans="1:18" x14ac:dyDescent="0.25">
      <c r="A42" s="99" t="s">
        <v>172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>
        <v>2347200000</v>
      </c>
      <c r="O42" s="114">
        <v>2483800000</v>
      </c>
      <c r="P42" s="114">
        <v>2645300000</v>
      </c>
      <c r="Q42" s="114"/>
      <c r="R42" s="114"/>
    </row>
    <row r="43" spans="1:18" x14ac:dyDescent="0.25">
      <c r="A43" s="99" t="s">
        <v>172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>
        <v>2486100000</v>
      </c>
      <c r="P43" s="114">
        <v>2653700000</v>
      </c>
      <c r="Q43" s="114">
        <v>2796300000</v>
      </c>
      <c r="R43" s="114"/>
    </row>
    <row r="44" spans="1:18" x14ac:dyDescent="0.25">
      <c r="A44" s="99" t="s">
        <v>172</v>
      </c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>
        <v>2777100000</v>
      </c>
      <c r="Q44" s="114">
        <v>2935100000</v>
      </c>
      <c r="R44" s="114">
        <v>3101400000</v>
      </c>
    </row>
    <row r="45" spans="1:18" x14ac:dyDescent="0.25"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</row>
    <row r="46" spans="1:18" x14ac:dyDescent="0.25"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</row>
    <row r="47" spans="1:18" x14ac:dyDescent="0.25"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</row>
    <row r="48" spans="1:18" x14ac:dyDescent="0.25"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</row>
    <row r="49" spans="1:20" x14ac:dyDescent="0.25"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</row>
    <row r="50" spans="1:20" x14ac:dyDescent="0.25"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</row>
    <row r="51" spans="1:20" x14ac:dyDescent="0.25"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</row>
    <row r="52" spans="1:20" x14ac:dyDescent="0.25"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</row>
    <row r="53" spans="1:20" x14ac:dyDescent="0.25"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</row>
    <row r="54" spans="1:20" x14ac:dyDescent="0.25"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</row>
    <row r="55" spans="1:20" x14ac:dyDescent="0.25"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</row>
    <row r="56" spans="1:20" x14ac:dyDescent="0.25">
      <c r="O56" s="114"/>
      <c r="P56" s="114"/>
      <c r="Q56" s="114"/>
      <c r="R56" s="114"/>
    </row>
    <row r="59" spans="1:20" x14ac:dyDescent="0.25">
      <c r="A59" t="s">
        <v>176</v>
      </c>
    </row>
    <row r="60" spans="1:20" x14ac:dyDescent="0.25">
      <c r="B60" s="112" t="s">
        <v>61</v>
      </c>
      <c r="C60" s="112" t="s">
        <v>62</v>
      </c>
      <c r="D60" s="112" t="s">
        <v>63</v>
      </c>
      <c r="E60" s="112" t="s">
        <v>51</v>
      </c>
      <c r="F60" s="112" t="s">
        <v>52</v>
      </c>
      <c r="G60" s="112" t="s">
        <v>50</v>
      </c>
      <c r="H60" s="112" t="s">
        <v>33</v>
      </c>
      <c r="I60" s="112" t="s">
        <v>34</v>
      </c>
      <c r="J60" s="112" t="s">
        <v>35</v>
      </c>
      <c r="K60" s="112" t="s">
        <v>36</v>
      </c>
      <c r="L60" s="112" t="s">
        <v>37</v>
      </c>
      <c r="M60" s="112" t="s">
        <v>38</v>
      </c>
      <c r="N60" s="1" t="s">
        <v>39</v>
      </c>
      <c r="O60" s="1" t="s">
        <v>40</v>
      </c>
      <c r="P60" s="80" t="s">
        <v>147</v>
      </c>
      <c r="Q60" s="80" t="s">
        <v>148</v>
      </c>
      <c r="R60" s="80" t="s">
        <v>149</v>
      </c>
    </row>
    <row r="61" spans="1:20" x14ac:dyDescent="0.25">
      <c r="A61" t="s">
        <v>170</v>
      </c>
      <c r="B61" s="114">
        <v>2229440056</v>
      </c>
      <c r="C61" s="114">
        <v>2944991579</v>
      </c>
      <c r="D61" s="114">
        <v>3728418536</v>
      </c>
      <c r="E61" s="114">
        <v>4802817294</v>
      </c>
      <c r="F61" s="114">
        <v>5545243168</v>
      </c>
      <c r="G61" s="114">
        <v>4713490850</v>
      </c>
      <c r="H61" s="114">
        <v>4551438822</v>
      </c>
      <c r="I61" s="114">
        <v>4567747726</v>
      </c>
      <c r="J61" s="114">
        <v>4646055916</v>
      </c>
      <c r="K61" s="114">
        <v>4769450270</v>
      </c>
      <c r="L61" s="114">
        <v>5345271200</v>
      </c>
      <c r="M61" s="114">
        <v>5479421550</v>
      </c>
      <c r="N61" s="114">
        <v>5400803388</v>
      </c>
      <c r="S61" s="114"/>
      <c r="T61" s="114"/>
    </row>
    <row r="62" spans="1:20" x14ac:dyDescent="0.25">
      <c r="A62" t="s">
        <v>177</v>
      </c>
      <c r="B62" s="114">
        <f>B63</f>
        <v>2136719194.8252997</v>
      </c>
      <c r="C62" s="114">
        <f>C64</f>
        <v>2925759149.0657425</v>
      </c>
      <c r="D62" s="114">
        <f>D65</f>
        <v>3710849682.1304374</v>
      </c>
      <c r="E62" s="114">
        <f>E66</f>
        <v>4978201603.861105</v>
      </c>
      <c r="F62" s="114">
        <f>F67</f>
        <v>6005941912.6812029</v>
      </c>
      <c r="G62" s="114">
        <f>G68</f>
        <v>6049481790.0865679</v>
      </c>
      <c r="H62" s="114">
        <f>H69</f>
        <v>4332786950.5580502</v>
      </c>
      <c r="I62" s="114">
        <f>I70</f>
        <v>4706859949.5734234</v>
      </c>
      <c r="J62" s="114">
        <f>J71</f>
        <v>4634435774.4122114</v>
      </c>
      <c r="K62" s="114">
        <f>K72</f>
        <v>4853984894.7928581</v>
      </c>
      <c r="L62" s="114">
        <f>L73</f>
        <v>5322800000</v>
      </c>
      <c r="M62" s="114">
        <f>M74</f>
        <v>5534300000</v>
      </c>
      <c r="N62" s="114">
        <f>N75</f>
        <v>5636400000</v>
      </c>
      <c r="O62" s="114">
        <f>O76</f>
        <v>6087000000</v>
      </c>
      <c r="P62" s="114">
        <f>P77</f>
        <v>6482200000</v>
      </c>
    </row>
    <row r="63" spans="1:20" x14ac:dyDescent="0.25">
      <c r="A63" s="99" t="s">
        <v>178</v>
      </c>
      <c r="B63" s="114">
        <f>1501694797/0.702804</f>
        <v>2136719194.8252997</v>
      </c>
    </row>
    <row r="64" spans="1:20" x14ac:dyDescent="0.25">
      <c r="A64" s="99" t="s">
        <v>178</v>
      </c>
      <c r="C64" s="114">
        <f>2056235233/0.702804</f>
        <v>2925759149.0657425</v>
      </c>
    </row>
    <row r="65" spans="1:18" x14ac:dyDescent="0.25">
      <c r="A65" s="99" t="s">
        <v>178</v>
      </c>
      <c r="D65" s="114">
        <f>2608000000/0.702804</f>
        <v>3710849682.1304374</v>
      </c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</row>
    <row r="66" spans="1:18" x14ac:dyDescent="0.25">
      <c r="A66" s="99" t="s">
        <v>178</v>
      </c>
      <c r="D66" s="114"/>
      <c r="E66" s="114">
        <f>3498700000/0.702804</f>
        <v>4978201603.861105</v>
      </c>
      <c r="F66" s="114"/>
      <c r="G66" s="114"/>
      <c r="H66" s="114"/>
      <c r="I66" s="114"/>
      <c r="J66" s="114"/>
      <c r="K66" s="114"/>
      <c r="L66" s="114"/>
      <c r="M66" s="114"/>
      <c r="N66" s="114"/>
      <c r="O66" s="114"/>
    </row>
    <row r="67" spans="1:18" x14ac:dyDescent="0.25">
      <c r="A67" s="99" t="s">
        <v>178</v>
      </c>
      <c r="D67" s="114"/>
      <c r="E67" s="114"/>
      <c r="F67" s="114">
        <f>4221000000/0.702804</f>
        <v>6005941912.6812029</v>
      </c>
      <c r="G67" s="114"/>
      <c r="H67" s="114"/>
      <c r="I67" s="114"/>
      <c r="J67" s="114"/>
      <c r="K67" s="114"/>
      <c r="L67" s="114"/>
      <c r="M67" s="114"/>
      <c r="N67" s="114"/>
      <c r="O67" s="114"/>
    </row>
    <row r="68" spans="1:18" x14ac:dyDescent="0.25">
      <c r="A68" s="99" t="s">
        <v>178</v>
      </c>
      <c r="D68" s="114"/>
      <c r="E68" s="114"/>
      <c r="F68" s="114"/>
      <c r="G68" s="114">
        <f>4251600000/0.702804</f>
        <v>6049481790.0865679</v>
      </c>
      <c r="H68" s="114"/>
      <c r="I68" s="114"/>
      <c r="J68" s="114"/>
      <c r="K68" s="114"/>
      <c r="L68" s="114"/>
      <c r="M68" s="114"/>
      <c r="N68" s="114"/>
      <c r="O68" s="114"/>
    </row>
    <row r="69" spans="1:18" x14ac:dyDescent="0.25">
      <c r="A69" s="99" t="s">
        <v>178</v>
      </c>
      <c r="D69" s="114"/>
      <c r="E69" s="114"/>
      <c r="F69" s="114"/>
      <c r="G69" s="114"/>
      <c r="H69" s="114">
        <f>3045100000/0.702804</f>
        <v>4332786950.5580502</v>
      </c>
      <c r="I69" s="114"/>
      <c r="J69" s="114"/>
      <c r="K69" s="114"/>
      <c r="L69" s="114"/>
      <c r="M69" s="114"/>
      <c r="N69" s="114"/>
      <c r="O69" s="114"/>
    </row>
    <row r="70" spans="1:18" x14ac:dyDescent="0.25">
      <c r="A70" s="99" t="s">
        <v>178</v>
      </c>
      <c r="E70" s="114"/>
      <c r="F70" s="114"/>
      <c r="G70" s="114"/>
      <c r="H70" s="114"/>
      <c r="I70" s="114">
        <f>3308000000/0.702804</f>
        <v>4706859949.5734234</v>
      </c>
      <c r="J70" s="114"/>
      <c r="K70" s="114"/>
      <c r="L70" s="114"/>
      <c r="M70" s="114"/>
      <c r="N70" s="114"/>
      <c r="O70" s="114"/>
    </row>
    <row r="71" spans="1:18" x14ac:dyDescent="0.25">
      <c r="A71" s="99" t="s">
        <v>178</v>
      </c>
      <c r="D71" s="114"/>
      <c r="E71" s="114"/>
      <c r="F71" s="114"/>
      <c r="G71" s="114"/>
      <c r="H71" s="114"/>
      <c r="I71" s="114"/>
      <c r="J71" s="114">
        <f>3257100000/0.702804</f>
        <v>4634435774.4122114</v>
      </c>
      <c r="K71" s="114"/>
      <c r="L71" s="114"/>
      <c r="M71" s="114"/>
      <c r="N71" s="114"/>
      <c r="O71" s="114"/>
    </row>
    <row r="72" spans="1:18" x14ac:dyDescent="0.25">
      <c r="A72" s="99" t="s">
        <v>178</v>
      </c>
      <c r="D72" s="114"/>
      <c r="E72" s="114"/>
      <c r="F72" s="114"/>
      <c r="G72" s="114"/>
      <c r="H72" s="114"/>
      <c r="I72" s="114"/>
      <c r="J72" s="114"/>
      <c r="K72" s="114">
        <f>3411400000/0.702804</f>
        <v>4853984894.7928581</v>
      </c>
      <c r="L72" s="114"/>
      <c r="M72" s="114"/>
      <c r="N72" s="114"/>
      <c r="O72" s="114"/>
    </row>
    <row r="73" spans="1:18" x14ac:dyDescent="0.25">
      <c r="A73" s="99" t="s">
        <v>178</v>
      </c>
      <c r="D73" s="114"/>
      <c r="E73" s="114"/>
      <c r="F73" s="114"/>
      <c r="G73" s="114"/>
      <c r="H73" s="114"/>
      <c r="I73" s="114"/>
      <c r="J73" s="114"/>
      <c r="K73" s="114"/>
      <c r="L73" s="114">
        <v>5322800000</v>
      </c>
      <c r="M73" s="114">
        <v>5133000000</v>
      </c>
      <c r="N73" s="114">
        <v>5356500000</v>
      </c>
      <c r="O73" s="114"/>
    </row>
    <row r="74" spans="1:18" x14ac:dyDescent="0.25">
      <c r="A74" s="99" t="s">
        <v>178</v>
      </c>
      <c r="D74" s="114"/>
      <c r="E74" s="114"/>
      <c r="F74" s="114"/>
      <c r="G74" s="114"/>
      <c r="H74" s="114"/>
      <c r="I74" s="114"/>
      <c r="J74" s="114"/>
      <c r="K74" s="114"/>
      <c r="L74" s="114"/>
      <c r="M74" s="114">
        <v>5534300000</v>
      </c>
      <c r="N74" s="114">
        <v>5599800000</v>
      </c>
      <c r="O74" s="114">
        <v>5599100000</v>
      </c>
    </row>
    <row r="75" spans="1:18" x14ac:dyDescent="0.25">
      <c r="A75" s="99" t="s">
        <v>178</v>
      </c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>
        <v>5636400000</v>
      </c>
      <c r="O75" s="114">
        <v>6041500000</v>
      </c>
      <c r="P75" s="114">
        <v>6189400000</v>
      </c>
    </row>
    <row r="76" spans="1:18" x14ac:dyDescent="0.25">
      <c r="A76" s="99" t="s">
        <v>178</v>
      </c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>
        <v>6087000000</v>
      </c>
      <c r="P76" s="114">
        <v>6263100000</v>
      </c>
      <c r="Q76" s="114">
        <v>6198500000</v>
      </c>
    </row>
    <row r="77" spans="1:18" x14ac:dyDescent="0.25">
      <c r="A77" s="99" t="s">
        <v>178</v>
      </c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>
        <v>6482200000</v>
      </c>
      <c r="Q77" s="114">
        <v>6651000000</v>
      </c>
      <c r="R77" s="114">
        <v>6980600000</v>
      </c>
    </row>
    <row r="78" spans="1:18" x14ac:dyDescent="0.25">
      <c r="A78" t="s">
        <v>178</v>
      </c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</row>
    <row r="79" spans="1:18" x14ac:dyDescent="0.25">
      <c r="A79" t="s">
        <v>178</v>
      </c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</row>
    <row r="80" spans="1:18" x14ac:dyDescent="0.25"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</row>
    <row r="86" spans="1:18" x14ac:dyDescent="0.25">
      <c r="A86" t="s">
        <v>179</v>
      </c>
    </row>
    <row r="87" spans="1:18" x14ac:dyDescent="0.25">
      <c r="B87" s="112" t="s">
        <v>61</v>
      </c>
      <c r="C87" s="112" t="s">
        <v>62</v>
      </c>
      <c r="D87" s="112" t="s">
        <v>63</v>
      </c>
      <c r="E87" s="112" t="s">
        <v>51</v>
      </c>
      <c r="F87" s="112" t="s">
        <v>52</v>
      </c>
      <c r="G87" s="112" t="s">
        <v>50</v>
      </c>
      <c r="H87" s="112" t="s">
        <v>33</v>
      </c>
      <c r="I87" s="112" t="s">
        <v>34</v>
      </c>
      <c r="J87" s="112" t="s">
        <v>35</v>
      </c>
      <c r="K87" s="112" t="s">
        <v>36</v>
      </c>
      <c r="L87" s="112" t="s">
        <v>37</v>
      </c>
      <c r="M87" s="112" t="s">
        <v>38</v>
      </c>
      <c r="N87" s="1" t="s">
        <v>39</v>
      </c>
      <c r="O87" s="1" t="s">
        <v>40</v>
      </c>
      <c r="P87" s="80" t="s">
        <v>147</v>
      </c>
      <c r="Q87" s="80" t="s">
        <v>148</v>
      </c>
      <c r="R87" s="80" t="s">
        <v>149</v>
      </c>
    </row>
    <row r="88" spans="1:18" x14ac:dyDescent="0.25">
      <c r="A88" t="s">
        <v>174</v>
      </c>
      <c r="B88" s="114">
        <v>863422555</v>
      </c>
      <c r="C88" s="114">
        <v>964898220</v>
      </c>
      <c r="D88" s="114">
        <v>1136293586</v>
      </c>
      <c r="E88" s="114">
        <v>1298285187</v>
      </c>
      <c r="F88" s="114">
        <f>1727131995</f>
        <v>1727131995</v>
      </c>
      <c r="G88" s="114">
        <v>2079488072</v>
      </c>
      <c r="H88" s="114">
        <v>2154041153</v>
      </c>
      <c r="I88" s="114">
        <v>1963182269</v>
      </c>
      <c r="J88" s="114">
        <v>1995088724</v>
      </c>
      <c r="K88" s="114">
        <v>2094168039</v>
      </c>
      <c r="L88" s="114">
        <v>2121754500</v>
      </c>
      <c r="M88" s="114">
        <v>2203109089</v>
      </c>
      <c r="N88" s="114">
        <v>2290789394</v>
      </c>
      <c r="O88" s="114"/>
      <c r="P88" s="114"/>
      <c r="Q88" s="114"/>
      <c r="R88" s="114"/>
    </row>
    <row r="89" spans="1:18" x14ac:dyDescent="0.25">
      <c r="A89" t="s">
        <v>180</v>
      </c>
      <c r="B89" s="114">
        <f>B90</f>
        <v>843095406.40064657</v>
      </c>
      <c r="C89" s="114">
        <f>C91</f>
        <v>951677170.30637276</v>
      </c>
      <c r="D89" s="114">
        <f>D92</f>
        <v>1096038155.730474</v>
      </c>
      <c r="E89" s="114">
        <f>E93</f>
        <v>1300789409.280539</v>
      </c>
      <c r="F89" s="114">
        <f>F94</f>
        <v>1613394346.0765734</v>
      </c>
      <c r="G89" s="114">
        <f>G95</f>
        <v>2215695983.5174532</v>
      </c>
      <c r="H89" s="114">
        <f>H96</f>
        <v>1933255929.1068349</v>
      </c>
      <c r="I89" s="114">
        <f>I97</f>
        <v>2041678761.0770571</v>
      </c>
      <c r="J89" s="114">
        <f>J98</f>
        <v>1996004575.9557431</v>
      </c>
      <c r="K89" s="114">
        <f>K99</f>
        <v>2028303766.0571084</v>
      </c>
      <c r="L89" s="114">
        <f>L100</f>
        <v>2074300000</v>
      </c>
      <c r="M89" s="114">
        <f>M101</f>
        <v>2147000000</v>
      </c>
      <c r="N89" s="114">
        <f>N102</f>
        <v>2242600000</v>
      </c>
      <c r="O89" s="114">
        <f>O103</f>
        <v>2420800000</v>
      </c>
      <c r="P89" s="114">
        <f>P104</f>
        <v>2651200000</v>
      </c>
      <c r="Q89" s="114"/>
      <c r="R89" s="114"/>
    </row>
    <row r="90" spans="1:18" x14ac:dyDescent="0.25">
      <c r="A90" s="99" t="s">
        <v>178</v>
      </c>
      <c r="B90" s="114">
        <f>592530824/0.702804</f>
        <v>843095406.40064657</v>
      </c>
      <c r="O90" s="114"/>
      <c r="P90" s="114"/>
      <c r="Q90" s="114"/>
      <c r="R90" s="114"/>
    </row>
    <row r="91" spans="1:18" x14ac:dyDescent="0.25">
      <c r="A91" s="99" t="s">
        <v>178</v>
      </c>
      <c r="C91" s="114">
        <f>668842522/0.702804</f>
        <v>951677170.30637276</v>
      </c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</row>
    <row r="92" spans="1:18" x14ac:dyDescent="0.25">
      <c r="A92" s="99" t="s">
        <v>178</v>
      </c>
      <c r="B92" s="114"/>
      <c r="D92" s="114">
        <f>770300000/0.702804</f>
        <v>1096038155.730474</v>
      </c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</row>
    <row r="93" spans="1:18" x14ac:dyDescent="0.25">
      <c r="A93" s="99" t="s">
        <v>178</v>
      </c>
      <c r="D93" s="114"/>
      <c r="E93" s="114">
        <f>914200000/0.702804</f>
        <v>1300789409.280539</v>
      </c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</row>
    <row r="94" spans="1:18" x14ac:dyDescent="0.25">
      <c r="A94" s="99" t="s">
        <v>178</v>
      </c>
      <c r="D94" s="114"/>
      <c r="E94" s="114"/>
      <c r="F94" s="114">
        <f>1133900000/0.702804</f>
        <v>1613394346.0765734</v>
      </c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</row>
    <row r="95" spans="1:18" x14ac:dyDescent="0.25">
      <c r="A95" s="99" t="s">
        <v>178</v>
      </c>
      <c r="D95" s="114"/>
      <c r="E95" s="114"/>
      <c r="F95" s="114"/>
      <c r="G95" s="114">
        <f>1557200000/0.702804</f>
        <v>2215695983.5174532</v>
      </c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</row>
    <row r="96" spans="1:18" x14ac:dyDescent="0.25">
      <c r="A96" s="99" t="s">
        <v>178</v>
      </c>
      <c r="D96" s="114"/>
      <c r="E96" s="114"/>
      <c r="F96" s="114"/>
      <c r="G96" s="114"/>
      <c r="H96" s="114">
        <f>1358700000/0.702804</f>
        <v>1933255929.1068349</v>
      </c>
      <c r="I96" s="114"/>
      <c r="J96" s="114"/>
      <c r="K96" s="114"/>
      <c r="L96" s="114"/>
      <c r="M96" s="114"/>
      <c r="N96" s="114"/>
      <c r="O96" s="114"/>
      <c r="P96" s="114"/>
      <c r="Q96" s="114"/>
      <c r="R96" s="114"/>
    </row>
    <row r="97" spans="1:18" x14ac:dyDescent="0.25">
      <c r="A97" s="99" t="s">
        <v>178</v>
      </c>
      <c r="D97" s="114"/>
      <c r="E97" s="114"/>
      <c r="F97" s="114"/>
      <c r="G97" s="114"/>
      <c r="H97" s="114"/>
      <c r="I97" s="114">
        <f>1434900000/0.702804</f>
        <v>2041678761.0770571</v>
      </c>
      <c r="J97" s="114"/>
      <c r="K97" s="114"/>
      <c r="L97" s="114"/>
      <c r="M97" s="114"/>
      <c r="N97" s="114"/>
      <c r="O97" s="114"/>
      <c r="P97" s="114"/>
      <c r="Q97" s="114"/>
      <c r="R97" s="114"/>
    </row>
    <row r="98" spans="1:18" x14ac:dyDescent="0.25">
      <c r="A98" s="99" t="s">
        <v>178</v>
      </c>
      <c r="D98" s="114"/>
      <c r="E98" s="114"/>
      <c r="F98" s="114"/>
      <c r="G98" s="114"/>
      <c r="H98" s="114"/>
      <c r="I98" s="114"/>
      <c r="J98" s="114">
        <f>1402800000/0.702804</f>
        <v>1996004575.9557431</v>
      </c>
      <c r="K98" s="114"/>
      <c r="L98" s="114"/>
      <c r="M98" s="114"/>
      <c r="N98" s="114"/>
      <c r="O98" s="114"/>
      <c r="P98" s="114"/>
      <c r="Q98" s="114"/>
      <c r="R98" s="114"/>
    </row>
    <row r="99" spans="1:18" x14ac:dyDescent="0.25">
      <c r="A99" s="99" t="s">
        <v>178</v>
      </c>
      <c r="D99" s="114"/>
      <c r="E99" s="114"/>
      <c r="F99" s="114"/>
      <c r="G99" s="114"/>
      <c r="H99" s="114"/>
      <c r="I99" s="114"/>
      <c r="J99" s="114"/>
      <c r="K99" s="114">
        <f>1425500000/0.702804</f>
        <v>2028303766.0571084</v>
      </c>
      <c r="L99" s="114"/>
      <c r="M99" s="114"/>
      <c r="N99" s="114"/>
      <c r="O99" s="114"/>
      <c r="P99" s="114"/>
      <c r="Q99" s="114"/>
      <c r="R99" s="114"/>
    </row>
    <row r="100" spans="1:18" x14ac:dyDescent="0.25">
      <c r="A100" s="99" t="s">
        <v>178</v>
      </c>
      <c r="D100" s="114"/>
      <c r="E100" s="114"/>
      <c r="F100" s="114"/>
      <c r="G100" s="114"/>
      <c r="H100" s="114"/>
      <c r="I100" s="114"/>
      <c r="J100" s="114"/>
      <c r="K100" s="114"/>
      <c r="L100" s="114">
        <v>2074300000</v>
      </c>
      <c r="M100" s="114">
        <v>2128900000</v>
      </c>
      <c r="N100" s="114">
        <v>2134700000</v>
      </c>
      <c r="O100" s="114"/>
      <c r="P100" s="114"/>
      <c r="Q100" s="114"/>
      <c r="R100" s="114"/>
    </row>
    <row r="101" spans="1:18" x14ac:dyDescent="0.25">
      <c r="A101" s="99" t="s">
        <v>178</v>
      </c>
      <c r="D101" s="114"/>
      <c r="E101" s="114"/>
      <c r="F101" s="114"/>
      <c r="G101" s="114"/>
      <c r="H101" s="114"/>
      <c r="I101" s="114"/>
      <c r="J101" s="114"/>
      <c r="K101" s="114"/>
      <c r="L101" s="114"/>
      <c r="M101" s="114">
        <v>2147000000</v>
      </c>
      <c r="N101" s="114">
        <v>2194800000</v>
      </c>
      <c r="O101" s="114">
        <v>2247800000</v>
      </c>
      <c r="P101" s="114"/>
      <c r="Q101" s="114"/>
      <c r="R101" s="114"/>
    </row>
    <row r="102" spans="1:18" x14ac:dyDescent="0.25">
      <c r="A102" s="99" t="s">
        <v>178</v>
      </c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>
        <v>2242600000</v>
      </c>
      <c r="O102" s="114">
        <v>2327800000</v>
      </c>
      <c r="P102" s="114">
        <v>2454300000</v>
      </c>
      <c r="Q102" s="114"/>
      <c r="R102" s="114"/>
    </row>
    <row r="103" spans="1:18" x14ac:dyDescent="0.25">
      <c r="A103" s="99" t="s">
        <v>178</v>
      </c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>
        <v>2420800000</v>
      </c>
      <c r="P103" s="114">
        <v>2596000000</v>
      </c>
      <c r="Q103" s="114">
        <v>2771000000</v>
      </c>
      <c r="R103" s="114"/>
    </row>
    <row r="104" spans="1:18" x14ac:dyDescent="0.25"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>
        <v>2651200000</v>
      </c>
      <c r="Q104" s="114">
        <v>2855200000</v>
      </c>
      <c r="R104" s="114">
        <v>3032800000</v>
      </c>
    </row>
    <row r="105" spans="1:18" x14ac:dyDescent="0.25"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</row>
    <row r="106" spans="1:18" x14ac:dyDescent="0.25"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</row>
    <row r="107" spans="1:18" x14ac:dyDescent="0.25"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</row>
    <row r="108" spans="1:18" x14ac:dyDescent="0.25"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</row>
    <row r="109" spans="1:18" x14ac:dyDescent="0.25"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</row>
    <row r="110" spans="1:18" x14ac:dyDescent="0.25"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</row>
    <row r="111" spans="1:18" x14ac:dyDescent="0.25"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</row>
    <row r="112" spans="1:18" x14ac:dyDescent="0.25">
      <c r="A112" t="s">
        <v>181</v>
      </c>
    </row>
    <row r="113" spans="1:18" x14ac:dyDescent="0.25">
      <c r="B113" s="112" t="s">
        <v>61</v>
      </c>
      <c r="C113" s="112" t="s">
        <v>62</v>
      </c>
      <c r="D113" s="112" t="s">
        <v>63</v>
      </c>
      <c r="E113" s="112" t="s">
        <v>51</v>
      </c>
      <c r="F113" s="112" t="s">
        <v>52</v>
      </c>
      <c r="G113" s="112" t="s">
        <v>50</v>
      </c>
      <c r="H113" s="112" t="s">
        <v>33</v>
      </c>
      <c r="I113" s="112" t="s">
        <v>34</v>
      </c>
      <c r="J113" s="112" t="s">
        <v>35</v>
      </c>
      <c r="K113" s="112" t="s">
        <v>36</v>
      </c>
      <c r="L113" s="112" t="s">
        <v>37</v>
      </c>
      <c r="M113" s="112" t="s">
        <v>38</v>
      </c>
      <c r="N113" s="1" t="s">
        <v>39</v>
      </c>
      <c r="O113" s="1" t="s">
        <v>40</v>
      </c>
      <c r="P113" s="80" t="s">
        <v>147</v>
      </c>
      <c r="Q113" s="80" t="s">
        <v>148</v>
      </c>
      <c r="R113" s="80" t="s">
        <v>149</v>
      </c>
    </row>
    <row r="114" spans="1:18" x14ac:dyDescent="0.25">
      <c r="A114" t="s">
        <v>182</v>
      </c>
      <c r="B114" s="20"/>
      <c r="C114" s="20"/>
      <c r="D114" s="20"/>
      <c r="E114" s="20">
        <v>-250.5</v>
      </c>
      <c r="F114" s="20">
        <v>-256.39999999999998</v>
      </c>
      <c r="G114" s="20">
        <v>-440.6</v>
      </c>
      <c r="H114" s="20">
        <v>-422.6</v>
      </c>
      <c r="I114" s="20">
        <v>-227.3</v>
      </c>
      <c r="J114" s="20">
        <v>-302.2</v>
      </c>
      <c r="K114" s="20">
        <v>-91.6</v>
      </c>
      <c r="L114" s="20">
        <v>109</v>
      </c>
      <c r="M114" s="20">
        <v>75.5</v>
      </c>
      <c r="N114" s="20">
        <v>109.7</v>
      </c>
    </row>
    <row r="115" spans="1:18" x14ac:dyDescent="0.25">
      <c r="A115" s="99" t="s">
        <v>183</v>
      </c>
      <c r="H115">
        <v>-345.4</v>
      </c>
      <c r="I115">
        <v>-76.599999999999994</v>
      </c>
      <c r="J115">
        <v>-293.60000000000002</v>
      </c>
      <c r="K115">
        <v>-195.1</v>
      </c>
      <c r="L115" s="117">
        <v>-50.1</v>
      </c>
      <c r="M115" s="29">
        <v>-616.9</v>
      </c>
      <c r="N115">
        <v>225.2</v>
      </c>
    </row>
    <row r="116" spans="1:18" x14ac:dyDescent="0.25">
      <c r="A116" s="99" t="s">
        <v>183</v>
      </c>
      <c r="I116">
        <v>-48.9</v>
      </c>
      <c r="J116">
        <v>-224.2</v>
      </c>
      <c r="K116">
        <v>-72</v>
      </c>
      <c r="L116">
        <v>12</v>
      </c>
      <c r="M116" s="117">
        <v>37.9</v>
      </c>
      <c r="N116">
        <v>38</v>
      </c>
      <c r="O116">
        <v>269.10000000000002</v>
      </c>
    </row>
    <row r="117" spans="1:18" x14ac:dyDescent="0.25">
      <c r="A117" s="99" t="s">
        <v>183</v>
      </c>
      <c r="J117">
        <v>-213.5</v>
      </c>
      <c r="K117">
        <v>-44.5</v>
      </c>
      <c r="L117">
        <v>31.2</v>
      </c>
      <c r="M117">
        <v>2.6</v>
      </c>
      <c r="N117" s="117">
        <v>81</v>
      </c>
      <c r="O117">
        <v>147.30000000000001</v>
      </c>
      <c r="P117">
        <v>-110.1</v>
      </c>
    </row>
    <row r="118" spans="1:18" x14ac:dyDescent="0.25">
      <c r="A118" s="99" t="s">
        <v>183</v>
      </c>
      <c r="K118">
        <v>-79.099999999999994</v>
      </c>
      <c r="L118">
        <v>27.9</v>
      </c>
      <c r="M118">
        <v>64.5</v>
      </c>
      <c r="N118">
        <v>85.3</v>
      </c>
      <c r="O118" s="117">
        <v>38.299999999999997</v>
      </c>
      <c r="P118">
        <v>-215.9</v>
      </c>
      <c r="Q118">
        <v>-26.1</v>
      </c>
    </row>
    <row r="119" spans="1:18" x14ac:dyDescent="0.25">
      <c r="A119" s="99" t="s">
        <v>183</v>
      </c>
      <c r="B119" s="20">
        <v>-2.3079243999754766</v>
      </c>
      <c r="C119" s="20">
        <v>91.1020833916713</v>
      </c>
      <c r="D119" s="20">
        <v>-51.422114970000102</v>
      </c>
      <c r="E119" s="20">
        <v>-275.06599999999997</v>
      </c>
      <c r="F119" s="20">
        <v>-275.65774408796796</v>
      </c>
      <c r="G119" s="20">
        <v>-436.03997906670998</v>
      </c>
      <c r="H119" s="20">
        <v>-426.97748111422277</v>
      </c>
      <c r="I119" s="20">
        <v>-25.306814286771271</v>
      </c>
      <c r="J119" s="20">
        <v>-262.03913632927527</v>
      </c>
      <c r="K119" s="20">
        <v>-101.15487172796392</v>
      </c>
      <c r="L119">
        <v>24.7</v>
      </c>
      <c r="M119">
        <v>68.099999999999994</v>
      </c>
      <c r="N119">
        <v>105.2</v>
      </c>
      <c r="O119">
        <v>-222.1</v>
      </c>
      <c r="P119" s="117">
        <v>-101.6</v>
      </c>
      <c r="Q119">
        <v>-16.2</v>
      </c>
      <c r="R119">
        <v>-81.099999999999994</v>
      </c>
    </row>
  </sheetData>
  <hyperlinks>
    <hyperlink ref="A5" r:id="rId1"/>
    <hyperlink ref="A30" r:id="rId2"/>
    <hyperlink ref="A90" r:id="rId3"/>
    <hyperlink ref="A63" r:id="rId4"/>
    <hyperlink ref="A6" r:id="rId5"/>
    <hyperlink ref="A31" r:id="rId6"/>
    <hyperlink ref="A64" r:id="rId7"/>
    <hyperlink ref="A91" r:id="rId8"/>
    <hyperlink ref="A7" r:id="rId9"/>
    <hyperlink ref="A32" r:id="rId10"/>
    <hyperlink ref="A65" r:id="rId11"/>
    <hyperlink ref="A92" r:id="rId12"/>
    <hyperlink ref="A8" r:id="rId13"/>
    <hyperlink ref="A66" r:id="rId14"/>
    <hyperlink ref="A93" r:id="rId15"/>
    <hyperlink ref="A33" r:id="rId16"/>
    <hyperlink ref="A67" r:id="rId17"/>
    <hyperlink ref="A94" r:id="rId18"/>
    <hyperlink ref="A9" r:id="rId19"/>
    <hyperlink ref="A34" r:id="rId20"/>
    <hyperlink ref="A10" r:id="rId21"/>
    <hyperlink ref="A68" r:id="rId22"/>
    <hyperlink ref="A95" r:id="rId23"/>
    <hyperlink ref="A35" r:id="rId24"/>
    <hyperlink ref="A69" r:id="rId25"/>
    <hyperlink ref="A11" r:id="rId26"/>
    <hyperlink ref="A36" r:id="rId27"/>
    <hyperlink ref="A96" r:id="rId28"/>
    <hyperlink ref="A12" r:id="rId29"/>
    <hyperlink ref="A70" r:id="rId30"/>
    <hyperlink ref="A37" r:id="rId31"/>
    <hyperlink ref="A97" r:id="rId32"/>
    <hyperlink ref="A13" r:id="rId33"/>
    <hyperlink ref="A71" r:id="rId34"/>
    <hyperlink ref="A38" r:id="rId35"/>
    <hyperlink ref="A98" r:id="rId36"/>
    <hyperlink ref="A14" r:id="rId37"/>
    <hyperlink ref="A72" r:id="rId38"/>
    <hyperlink ref="A39" r:id="rId39"/>
    <hyperlink ref="A99" r:id="rId40"/>
    <hyperlink ref="A15" r:id="rId41"/>
    <hyperlink ref="A73" r:id="rId42"/>
    <hyperlink ref="A100" r:id="rId43"/>
    <hyperlink ref="A40" r:id="rId44"/>
    <hyperlink ref="A16" r:id="rId45"/>
    <hyperlink ref="A74" r:id="rId46"/>
    <hyperlink ref="A101" r:id="rId47"/>
    <hyperlink ref="A41" r:id="rId48"/>
    <hyperlink ref="A17" r:id="rId49"/>
    <hyperlink ref="A75" r:id="rId50"/>
    <hyperlink ref="A102" r:id="rId51"/>
    <hyperlink ref="A42" r:id="rId52"/>
    <hyperlink ref="A18" r:id="rId53"/>
    <hyperlink ref="A76" r:id="rId54"/>
    <hyperlink ref="A103" r:id="rId55"/>
    <hyperlink ref="A43" r:id="rId56"/>
    <hyperlink ref="A19" r:id="rId57"/>
    <hyperlink ref="A77" r:id="rId58"/>
    <hyperlink ref="A44" r:id="rId59"/>
    <hyperlink ref="A115" r:id="rId60"/>
    <hyperlink ref="A116" r:id="rId61"/>
    <hyperlink ref="A117" r:id="rId62"/>
    <hyperlink ref="A118" r:id="rId63"/>
    <hyperlink ref="A119" r:id="rId64"/>
  </hyperlinks>
  <pageMargins left="0.70866141732283472" right="0.70866141732283472" top="0.74803149606299213" bottom="0.74803149606299213" header="0.31496062992125984" footer="0.31496062992125984"/>
  <pageSetup paperSize="9" scale="23" orientation="landscape" r:id="rId65"/>
  <drawing r:id="rId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MoF graphs</vt:lpstr>
      <vt:lpstr>MoF forecasts</vt:lpstr>
      <vt:lpstr>EC forecasts</vt:lpstr>
      <vt:lpstr>Error comparison</vt:lpstr>
      <vt:lpstr>Budget forecasts</vt:lpstr>
    </vt:vector>
  </TitlesOfParts>
  <Company>Ernst &amp; Young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Kuznecova</dc:creator>
  <cp:lastModifiedBy>dace</cp:lastModifiedBy>
  <cp:lastPrinted>2018-02-13T19:53:09Z</cp:lastPrinted>
  <dcterms:created xsi:type="dcterms:W3CDTF">2017-09-20T13:39:15Z</dcterms:created>
  <dcterms:modified xsi:type="dcterms:W3CDTF">2018-02-13T19:53:45Z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/>
  </property>
</Properties>
</file>