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Viktorija.Zaremba\Finanšu ministrija\FDP - Dokumenti\2_Fiskala_politika\Dati_nodokli_no_2021\2023\04_2023\"/>
    </mc:Choice>
  </mc:AlternateContent>
  <xr:revisionPtr revIDLastSave="0" documentId="13_ncr:1_{962239E4-7DE1-4333-A987-63A47F3C3826}" xr6:coauthVersionLast="47" xr6:coauthVersionMax="47" xr10:uidLastSave="{00000000-0000-0000-0000-000000000000}"/>
  <bookViews>
    <workbookView xWindow="-110" yWindow="-110" windowWidth="19420" windowHeight="10420" tabRatio="513" activeTab="3" xr2:uid="{00000000-000D-0000-FFFF-FFFF00000000}"/>
  </bookViews>
  <sheets>
    <sheet name="tabula_kum" sheetId="9" r:id="rId1"/>
    <sheet name="tabula_ikm" sheetId="10" r:id="rId2"/>
    <sheet name="mēneša_apskats" sheetId="11" r:id="rId3"/>
    <sheet name="Ikmēneša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0" l="1"/>
  <c r="C30" i="10"/>
  <c r="D29" i="10"/>
  <c r="C29" i="10"/>
  <c r="D28" i="10" l="1"/>
  <c r="C28" i="10"/>
  <c r="C27" i="10"/>
  <c r="D27" i="10"/>
  <c r="D79" i="6"/>
  <c r="D117" i="6"/>
  <c r="D118" i="6"/>
  <c r="D10" i="6"/>
  <c r="D147" i="6"/>
  <c r="D210" i="6"/>
  <c r="D211" i="6"/>
  <c r="D45" i="6"/>
  <c r="D249" i="6"/>
  <c r="D214" i="6"/>
  <c r="D216" i="6"/>
  <c r="D246" i="6"/>
  <c r="D47" i="6"/>
  <c r="D184" i="6"/>
  <c r="D145" i="6"/>
  <c r="D178" i="6"/>
  <c r="D183" i="6"/>
  <c r="D247" i="6"/>
  <c r="D11" i="6"/>
  <c r="D149" i="6"/>
  <c r="D213" i="6"/>
  <c r="D146" i="6"/>
  <c r="D245" i="6"/>
  <c r="D16" i="6"/>
  <c r="D115" i="6"/>
  <c r="D148" i="6"/>
  <c r="D180" i="6"/>
  <c r="D212" i="6"/>
  <c r="D48" i="6"/>
  <c r="D181" i="6"/>
  <c r="D84" i="6"/>
  <c r="D244" i="6"/>
  <c r="D114" i="6"/>
  <c r="D12" i="6"/>
  <c r="D112" i="6"/>
  <c r="D248" i="6"/>
  <c r="D85" i="6"/>
  <c r="D82" i="6"/>
  <c r="D215" i="6"/>
  <c r="D80" i="6"/>
  <c r="D177" i="6"/>
  <c r="D179" i="6"/>
  <c r="D50" i="6"/>
  <c r="D113" i="6"/>
  <c r="D144" i="6"/>
  <c r="D182" i="6"/>
  <c r="D151" i="6"/>
  <c r="D51" i="6"/>
  <c r="D150" i="6"/>
  <c r="D46" i="6"/>
  <c r="D49" i="6"/>
  <c r="D116" i="6"/>
  <c r="D13" i="6"/>
  <c r="D83" i="6"/>
  <c r="D81" i="6"/>
  <c r="D243" i="6"/>
  <c r="D52" i="6"/>
  <c r="D78" i="6"/>
  <c r="D217" i="6"/>
  <c r="D15" i="6"/>
  <c r="D111" i="6"/>
  <c r="D250" i="6"/>
  <c r="D14" i="6"/>
  <c r="D17" i="6"/>
  <c r="C26" i="10" l="1"/>
  <c r="D26" i="10"/>
  <c r="D25" i="10"/>
  <c r="C25" i="10"/>
  <c r="E7" i="11" a="1"/>
  <c r="D5" i="11" a="1"/>
  <c r="D6" i="11" a="1"/>
  <c r="D9" i="11" a="1"/>
  <c r="E6" i="11" a="1"/>
  <c r="E9" i="11" a="1"/>
  <c r="E5" i="11" a="1"/>
  <c r="D8" i="11" a="1"/>
  <c r="E8" i="11" a="1"/>
  <c r="D7" i="11" a="1"/>
  <c r="D6" i="11" l="1"/>
  <c r="D7" i="11"/>
  <c r="D8" i="11"/>
  <c r="D9" i="11"/>
  <c r="E5" i="11"/>
  <c r="E6" i="11"/>
  <c r="E7" i="11"/>
  <c r="D5" i="11"/>
  <c r="E8" i="11"/>
  <c r="E9" i="11"/>
  <c r="D24" i="10"/>
  <c r="C24" i="10"/>
  <c r="D23" i="10" l="1"/>
  <c r="C23" i="10"/>
  <c r="D22" i="10" l="1"/>
  <c r="C22" i="10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Y42" i="9"/>
  <c r="Z42" i="9"/>
  <c r="AA42" i="9"/>
  <c r="AB42" i="9"/>
  <c r="AC42" i="9"/>
  <c r="AD42" i="9"/>
  <c r="AE42" i="9"/>
  <c r="AF42" i="9"/>
  <c r="AG42" i="9"/>
  <c r="Y43" i="9"/>
  <c r="Z43" i="9"/>
  <c r="AA43" i="9"/>
  <c r="AB43" i="9"/>
  <c r="AC43" i="9"/>
  <c r="AD43" i="9"/>
  <c r="AE43" i="9"/>
  <c r="AF43" i="9"/>
  <c r="AG43" i="9"/>
  <c r="Y44" i="9"/>
  <c r="Z44" i="9"/>
  <c r="AA44" i="9"/>
  <c r="AB44" i="9"/>
  <c r="AC44" i="9"/>
  <c r="AD44" i="9"/>
  <c r="AE44" i="9"/>
  <c r="AF44" i="9"/>
  <c r="AG44" i="9"/>
  <c r="Y45" i="9"/>
  <c r="Z45" i="9"/>
  <c r="AA45" i="9"/>
  <c r="AB45" i="9"/>
  <c r="AC45" i="9"/>
  <c r="AD45" i="9"/>
  <c r="AE45" i="9"/>
  <c r="AF45" i="9"/>
  <c r="AG45" i="9"/>
  <c r="Y46" i="9"/>
  <c r="Z46" i="9"/>
  <c r="AA46" i="9"/>
  <c r="AB46" i="9"/>
  <c r="AC46" i="9"/>
  <c r="AD46" i="9"/>
  <c r="AE46" i="9"/>
  <c r="AF46" i="9"/>
  <c r="AG46" i="9"/>
  <c r="Y47" i="9"/>
  <c r="Z47" i="9"/>
  <c r="AA47" i="9"/>
  <c r="AB47" i="9"/>
  <c r="AC47" i="9"/>
  <c r="AD47" i="9"/>
  <c r="AE47" i="9"/>
  <c r="AF47" i="9"/>
  <c r="AG47" i="9"/>
  <c r="Y48" i="9"/>
  <c r="Z48" i="9"/>
  <c r="AA48" i="9"/>
  <c r="AB48" i="9"/>
  <c r="AC48" i="9"/>
  <c r="AD48" i="9"/>
  <c r="AE48" i="9"/>
  <c r="AF48" i="9"/>
  <c r="AG48" i="9"/>
  <c r="Y49" i="9"/>
  <c r="Z49" i="9"/>
  <c r="AA49" i="9"/>
  <c r="AB49" i="9"/>
  <c r="AC49" i="9"/>
  <c r="AD49" i="9"/>
  <c r="AE49" i="9"/>
  <c r="AF49" i="9"/>
  <c r="AG49" i="9"/>
  <c r="Y50" i="9"/>
  <c r="Z50" i="9"/>
  <c r="AA50" i="9"/>
  <c r="AB50" i="9"/>
  <c r="AC50" i="9"/>
  <c r="AD50" i="9"/>
  <c r="AE50" i="9"/>
  <c r="AF50" i="9"/>
  <c r="AG50" i="9"/>
  <c r="Y51" i="9"/>
  <c r="Z51" i="9"/>
  <c r="AA51" i="9"/>
  <c r="AB51" i="9"/>
  <c r="AC51" i="9"/>
  <c r="AD51" i="9"/>
  <c r="AE51" i="9"/>
  <c r="AF51" i="9"/>
  <c r="AG51" i="9"/>
  <c r="Y52" i="9"/>
  <c r="Z52" i="9"/>
  <c r="AA52" i="9"/>
  <c r="AB52" i="9"/>
  <c r="AC52" i="9"/>
  <c r="AD52" i="9"/>
  <c r="AE52" i="9"/>
  <c r="AF52" i="9"/>
  <c r="AG52" i="9"/>
  <c r="Y53" i="9"/>
  <c r="Z53" i="9"/>
  <c r="AA53" i="9"/>
  <c r="AB53" i="9"/>
  <c r="AC53" i="9"/>
  <c r="AD53" i="9"/>
  <c r="AE53" i="9"/>
  <c r="AF53" i="9"/>
  <c r="AG53" i="9"/>
  <c r="Y54" i="9"/>
  <c r="Z54" i="9"/>
  <c r="AA54" i="9"/>
  <c r="AB54" i="9"/>
  <c r="AC54" i="9"/>
  <c r="AD54" i="9"/>
  <c r="AE54" i="9"/>
  <c r="AF54" i="9"/>
  <c r="AG54" i="9"/>
  <c r="Y55" i="9"/>
  <c r="Z55" i="9"/>
  <c r="AA55" i="9"/>
  <c r="AB55" i="9"/>
  <c r="AC55" i="9"/>
  <c r="AD55" i="9"/>
  <c r="AE55" i="9"/>
  <c r="AF55" i="9"/>
  <c r="AG55" i="9"/>
  <c r="Y56" i="9"/>
  <c r="Z56" i="9"/>
  <c r="AA56" i="9"/>
  <c r="AB56" i="9"/>
  <c r="AC56" i="9"/>
  <c r="AD56" i="9"/>
  <c r="AE56" i="9"/>
  <c r="AF56" i="9"/>
  <c r="AG56" i="9"/>
  <c r="Y57" i="9"/>
  <c r="Z57" i="9"/>
  <c r="AA57" i="9"/>
  <c r="AB57" i="9"/>
  <c r="AC57" i="9"/>
  <c r="AD57" i="9"/>
  <c r="AE57" i="9"/>
  <c r="AF57" i="9"/>
  <c r="AG57" i="9"/>
  <c r="Y58" i="9"/>
  <c r="Z58" i="9"/>
  <c r="AA58" i="9"/>
  <c r="AB58" i="9"/>
  <c r="AC58" i="9"/>
  <c r="AD58" i="9"/>
  <c r="AE58" i="9"/>
  <c r="AF58" i="9"/>
  <c r="AG58" i="9"/>
  <c r="Y59" i="9"/>
  <c r="Z59" i="9"/>
  <c r="AA59" i="9"/>
  <c r="AB59" i="9"/>
  <c r="AC59" i="9"/>
  <c r="AD59" i="9"/>
  <c r="AE59" i="9"/>
  <c r="AF59" i="9"/>
  <c r="AG59" i="9"/>
  <c r="Y60" i="9"/>
  <c r="Z60" i="9"/>
  <c r="AA60" i="9"/>
  <c r="AB60" i="9"/>
  <c r="AC60" i="9"/>
  <c r="AD60" i="9"/>
  <c r="AE60" i="9"/>
  <c r="AF60" i="9"/>
  <c r="AG60" i="9"/>
  <c r="Y61" i="9"/>
  <c r="Z61" i="9"/>
  <c r="AA61" i="9"/>
  <c r="AB61" i="9"/>
  <c r="AC61" i="9"/>
  <c r="AD61" i="9"/>
  <c r="AE61" i="9"/>
  <c r="AF61" i="9"/>
  <c r="AG61" i="9"/>
  <c r="D21" i="10"/>
  <c r="C21" i="10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D20" i="10"/>
  <c r="C20" i="10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C19" i="10"/>
  <c r="D19" i="10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C18" i="10"/>
  <c r="D18" i="10"/>
  <c r="T42" i="9" l="1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C17" i="10"/>
  <c r="D17" i="10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D16" i="10"/>
  <c r="C16" i="10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D5" i="10" l="1"/>
  <c r="D6" i="10"/>
  <c r="D7" i="10"/>
  <c r="D8" i="10"/>
  <c r="D9" i="10"/>
  <c r="D10" i="10"/>
  <c r="D11" i="10"/>
  <c r="D12" i="10"/>
  <c r="D13" i="10"/>
  <c r="D14" i="10"/>
  <c r="D15" i="10"/>
  <c r="D4" i="10"/>
  <c r="C15" i="10"/>
  <c r="D39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Q42" i="9" l="1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42" i="9" l="1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E30" i="9"/>
  <c r="E31" i="9"/>
  <c r="E28" i="9"/>
  <c r="E29" i="9"/>
  <c r="E27" i="9"/>
  <c r="S4" i="10" l="1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F42" i="9"/>
  <c r="G42" i="9"/>
  <c r="H42" i="9"/>
  <c r="I42" i="9"/>
  <c r="J42" i="9"/>
  <c r="K42" i="9"/>
  <c r="L42" i="9"/>
  <c r="M42" i="9"/>
  <c r="N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5" i="9"/>
  <c r="G55" i="9"/>
  <c r="H55" i="9"/>
  <c r="I55" i="9"/>
  <c r="J55" i="9"/>
  <c r="K55" i="9"/>
  <c r="L55" i="9"/>
  <c r="M55" i="9"/>
  <c r="N55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E43" i="9"/>
  <c r="E44" i="9"/>
  <c r="H6" i="10" s="1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42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B17" i="6"/>
  <c r="B41" i="6"/>
  <c r="AI11" i="10" l="1"/>
  <c r="AI19" i="10"/>
  <c r="AI22" i="10"/>
  <c r="AI23" i="10"/>
  <c r="AI9" i="10"/>
  <c r="AI18" i="10"/>
  <c r="AI4" i="10"/>
  <c r="AI12" i="10"/>
  <c r="AI20" i="10"/>
  <c r="AI14" i="10"/>
  <c r="AI7" i="10"/>
  <c r="AI16" i="10"/>
  <c r="AI10" i="10"/>
  <c r="AI5" i="10"/>
  <c r="AI13" i="10"/>
  <c r="AI21" i="10"/>
  <c r="AI6" i="10"/>
  <c r="AI15" i="10"/>
  <c r="AI8" i="10"/>
  <c r="AI17" i="10"/>
  <c r="AH4" i="10"/>
  <c r="AH6" i="10"/>
  <c r="AH9" i="10"/>
  <c r="AH11" i="10"/>
  <c r="AH13" i="10"/>
  <c r="AH15" i="10"/>
  <c r="AH17" i="10"/>
  <c r="AH19" i="10"/>
  <c r="AH21" i="10"/>
  <c r="AH23" i="10"/>
  <c r="AH5" i="10"/>
  <c r="AH7" i="10"/>
  <c r="AH10" i="10"/>
  <c r="AH12" i="10"/>
  <c r="AH14" i="10"/>
  <c r="AH16" i="10"/>
  <c r="AH18" i="10"/>
  <c r="AH20" i="10"/>
  <c r="AH22" i="10"/>
  <c r="AH8" i="10"/>
  <c r="AG4" i="10"/>
  <c r="AG6" i="10"/>
  <c r="AG8" i="10"/>
  <c r="AG10" i="10"/>
  <c r="AG12" i="10"/>
  <c r="AG14" i="10"/>
  <c r="AG16" i="10"/>
  <c r="AG18" i="10"/>
  <c r="AG20" i="10"/>
  <c r="AG22" i="10"/>
  <c r="AG5" i="10"/>
  <c r="AG7" i="10"/>
  <c r="AG9" i="10"/>
  <c r="AG11" i="10"/>
  <c r="AG13" i="10"/>
  <c r="AG15" i="10"/>
  <c r="AG17" i="10"/>
  <c r="AG19" i="10"/>
  <c r="AG21" i="10"/>
  <c r="AG23" i="10"/>
  <c r="AF10" i="10"/>
  <c r="AF18" i="10"/>
  <c r="AF17" i="10"/>
  <c r="AF11" i="10"/>
  <c r="AF19" i="10"/>
  <c r="AF9" i="10"/>
  <c r="AF4" i="10"/>
  <c r="AF12" i="10"/>
  <c r="AF20" i="10"/>
  <c r="AF5" i="10"/>
  <c r="AF13" i="10"/>
  <c r="AF21" i="10"/>
  <c r="AF6" i="10"/>
  <c r="AF14" i="10"/>
  <c r="AF22" i="10"/>
  <c r="AF8" i="10"/>
  <c r="AF7" i="10"/>
  <c r="AF15" i="10"/>
  <c r="AF23" i="10"/>
  <c r="AF16" i="10"/>
  <c r="AE4" i="10"/>
  <c r="AE6" i="10"/>
  <c r="AE8" i="10"/>
  <c r="AE10" i="10"/>
  <c r="AE12" i="10"/>
  <c r="AE14" i="10"/>
  <c r="AE16" i="10"/>
  <c r="AE18" i="10"/>
  <c r="AE20" i="10"/>
  <c r="AE22" i="10"/>
  <c r="AE5" i="10"/>
  <c r="AE7" i="10"/>
  <c r="AE9" i="10"/>
  <c r="AE11" i="10"/>
  <c r="AE13" i="10"/>
  <c r="AE15" i="10"/>
  <c r="AE17" i="10"/>
  <c r="AE19" i="10"/>
  <c r="AE21" i="10"/>
  <c r="AE23" i="10"/>
  <c r="AD11" i="10"/>
  <c r="AD19" i="10"/>
  <c r="AD4" i="10"/>
  <c r="AD12" i="10"/>
  <c r="AD20" i="10"/>
  <c r="AD22" i="10"/>
  <c r="AD5" i="10"/>
  <c r="AD13" i="10"/>
  <c r="AD21" i="10"/>
  <c r="AD6" i="10"/>
  <c r="AD14" i="10"/>
  <c r="AD7" i="10"/>
  <c r="AD15" i="10"/>
  <c r="AD23" i="10"/>
  <c r="AD8" i="10"/>
  <c r="AD16" i="10"/>
  <c r="AD9" i="10"/>
  <c r="AD17" i="10"/>
  <c r="AD10" i="10"/>
  <c r="AD18" i="10"/>
  <c r="AC5" i="10"/>
  <c r="AC7" i="10"/>
  <c r="AC9" i="10"/>
  <c r="AC11" i="10"/>
  <c r="AC13" i="10"/>
  <c r="AC15" i="10"/>
  <c r="AC17" i="10"/>
  <c r="AC19" i="10"/>
  <c r="AC21" i="10"/>
  <c r="AC23" i="10"/>
  <c r="AC4" i="10"/>
  <c r="AC6" i="10"/>
  <c r="AC8" i="10"/>
  <c r="AC10" i="10"/>
  <c r="AC12" i="10"/>
  <c r="AC14" i="10"/>
  <c r="AC16" i="10"/>
  <c r="AC18" i="10"/>
  <c r="AC20" i="10"/>
  <c r="AC22" i="10"/>
  <c r="AB4" i="10"/>
  <c r="AB6" i="10"/>
  <c r="AB8" i="10"/>
  <c r="AB10" i="10"/>
  <c r="AB12" i="10"/>
  <c r="AB14" i="10"/>
  <c r="AB16" i="10"/>
  <c r="AB18" i="10"/>
  <c r="AB20" i="10"/>
  <c r="AB22" i="10"/>
  <c r="AB5" i="10"/>
  <c r="AB7" i="10"/>
  <c r="AB9" i="10"/>
  <c r="AB11" i="10"/>
  <c r="AB13" i="10"/>
  <c r="AB15" i="10"/>
  <c r="AB17" i="10"/>
  <c r="AB19" i="10"/>
  <c r="AB21" i="10"/>
  <c r="AB23" i="10"/>
  <c r="AA19" i="10"/>
  <c r="AA11" i="10"/>
  <c r="AA18" i="10"/>
  <c r="AA10" i="10"/>
  <c r="AA15" i="10"/>
  <c r="AA14" i="10"/>
  <c r="AA21" i="10"/>
  <c r="AA4" i="10"/>
  <c r="AA17" i="10"/>
  <c r="AA9" i="10"/>
  <c r="AA7" i="10"/>
  <c r="AA6" i="10"/>
  <c r="AA5" i="10"/>
  <c r="AA20" i="10"/>
  <c r="AA16" i="10"/>
  <c r="AA8" i="10"/>
  <c r="AA23" i="10"/>
  <c r="AA22" i="10"/>
  <c r="AA13" i="10"/>
  <c r="AA12" i="10"/>
  <c r="Z4" i="10"/>
  <c r="Z6" i="10"/>
  <c r="Z8" i="10"/>
  <c r="Z10" i="10"/>
  <c r="Z12" i="10"/>
  <c r="Z14" i="10"/>
  <c r="Z16" i="10"/>
  <c r="Z18" i="10"/>
  <c r="Z20" i="10"/>
  <c r="Z22" i="10"/>
  <c r="Z5" i="10"/>
  <c r="Z7" i="10"/>
  <c r="Z9" i="10"/>
  <c r="Z11" i="10"/>
  <c r="Z13" i="10"/>
  <c r="Z15" i="10"/>
  <c r="Z17" i="10"/>
  <c r="Z19" i="10"/>
  <c r="Z21" i="10"/>
  <c r="Z23" i="10"/>
  <c r="Y4" i="10"/>
  <c r="Y8" i="10"/>
  <c r="Y12" i="10"/>
  <c r="Y16" i="10"/>
  <c r="Y20" i="10"/>
  <c r="Y10" i="10"/>
  <c r="Y14" i="10"/>
  <c r="Y22" i="10"/>
  <c r="Y7" i="10"/>
  <c r="Y15" i="10"/>
  <c r="Y5" i="10"/>
  <c r="Y9" i="10"/>
  <c r="Y13" i="10"/>
  <c r="Y17" i="10"/>
  <c r="Y21" i="10"/>
  <c r="Y6" i="10"/>
  <c r="Y18" i="10"/>
  <c r="Y11" i="10"/>
  <c r="Y19" i="10"/>
  <c r="Y23" i="10"/>
  <c r="X6" i="10"/>
  <c r="X10" i="10"/>
  <c r="X14" i="10"/>
  <c r="X18" i="10"/>
  <c r="X22" i="10"/>
  <c r="X11" i="10"/>
  <c r="X19" i="10"/>
  <c r="X4" i="10"/>
  <c r="X8" i="10"/>
  <c r="X12" i="10"/>
  <c r="X16" i="10"/>
  <c r="X20" i="10"/>
  <c r="X5" i="10"/>
  <c r="X9" i="10"/>
  <c r="X13" i="10"/>
  <c r="X17" i="10"/>
  <c r="X21" i="10"/>
  <c r="X7" i="10"/>
  <c r="X15" i="10"/>
  <c r="X23" i="10"/>
  <c r="W4" i="10"/>
  <c r="W8" i="10"/>
  <c r="W12" i="10"/>
  <c r="W16" i="10"/>
  <c r="W20" i="10"/>
  <c r="W10" i="10"/>
  <c r="W14" i="10"/>
  <c r="W18" i="10"/>
  <c r="W11" i="10"/>
  <c r="W19" i="10"/>
  <c r="W5" i="10"/>
  <c r="W9" i="10"/>
  <c r="W13" i="10"/>
  <c r="W17" i="10"/>
  <c r="W21" i="10"/>
  <c r="W6" i="10"/>
  <c r="W22" i="10"/>
  <c r="W7" i="10"/>
  <c r="W15" i="10"/>
  <c r="W23" i="10"/>
  <c r="V6" i="10"/>
  <c r="V10" i="10"/>
  <c r="V14" i="10"/>
  <c r="V18" i="10"/>
  <c r="V22" i="10"/>
  <c r="V8" i="10"/>
  <c r="V16" i="10"/>
  <c r="V5" i="10"/>
  <c r="V17" i="10"/>
  <c r="V7" i="10"/>
  <c r="V11" i="10"/>
  <c r="V15" i="10"/>
  <c r="V19" i="10"/>
  <c r="V23" i="10"/>
  <c r="V12" i="10"/>
  <c r="V20" i="10"/>
  <c r="V9" i="10"/>
  <c r="V13" i="10"/>
  <c r="V21" i="10"/>
  <c r="V4" i="10"/>
  <c r="U4" i="10"/>
  <c r="U8" i="10"/>
  <c r="U12" i="10"/>
  <c r="U16" i="10"/>
  <c r="U20" i="10"/>
  <c r="U6" i="10"/>
  <c r="U14" i="10"/>
  <c r="U18" i="10"/>
  <c r="U11" i="10"/>
  <c r="U19" i="10"/>
  <c r="U5" i="10"/>
  <c r="U9" i="10"/>
  <c r="U13" i="10"/>
  <c r="U17" i="10"/>
  <c r="U21" i="10"/>
  <c r="U10" i="10"/>
  <c r="U22" i="10"/>
  <c r="U7" i="10"/>
  <c r="U15" i="10"/>
  <c r="U23" i="10"/>
  <c r="T4" i="10"/>
  <c r="T8" i="10"/>
  <c r="T12" i="10"/>
  <c r="T16" i="10"/>
  <c r="T20" i="10"/>
  <c r="T5" i="10"/>
  <c r="T9" i="10"/>
  <c r="T13" i="10"/>
  <c r="T21" i="10"/>
  <c r="T17" i="10"/>
  <c r="T6" i="10"/>
  <c r="T10" i="10"/>
  <c r="T14" i="10"/>
  <c r="T18" i="10"/>
  <c r="T22" i="10"/>
  <c r="T7" i="10"/>
  <c r="T11" i="10"/>
  <c r="T15" i="10"/>
  <c r="T19" i="10"/>
  <c r="T23" i="10"/>
  <c r="S12" i="10"/>
  <c r="S5" i="10"/>
  <c r="S9" i="10"/>
  <c r="S13" i="10"/>
  <c r="S17" i="10"/>
  <c r="S21" i="10"/>
  <c r="S11" i="10"/>
  <c r="S19" i="10"/>
  <c r="S8" i="10"/>
  <c r="S20" i="10"/>
  <c r="S6" i="10"/>
  <c r="S10" i="10"/>
  <c r="S14" i="10"/>
  <c r="S18" i="10"/>
  <c r="S22" i="10"/>
  <c r="S7" i="10"/>
  <c r="S15" i="10"/>
  <c r="S23" i="10"/>
  <c r="S16" i="10"/>
  <c r="R4" i="10"/>
  <c r="R8" i="10"/>
  <c r="R12" i="10"/>
  <c r="R16" i="10"/>
  <c r="R20" i="10"/>
  <c r="R17" i="10"/>
  <c r="R5" i="10"/>
  <c r="R9" i="10"/>
  <c r="R13" i="10"/>
  <c r="R21" i="10"/>
  <c r="R6" i="10"/>
  <c r="R10" i="10"/>
  <c r="R14" i="10"/>
  <c r="R18" i="10"/>
  <c r="R22" i="10"/>
  <c r="R7" i="10"/>
  <c r="R11" i="10"/>
  <c r="R15" i="10"/>
  <c r="R19" i="10"/>
  <c r="R23" i="10"/>
  <c r="Q23" i="10"/>
  <c r="M23" i="10"/>
  <c r="I23" i="10"/>
  <c r="P20" i="10"/>
  <c r="L20" i="10"/>
  <c r="Q19" i="10"/>
  <c r="M19" i="10"/>
  <c r="I19" i="10"/>
  <c r="P16" i="10"/>
  <c r="L16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0" i="10"/>
  <c r="H16" i="10"/>
  <c r="H12" i="10"/>
  <c r="H8" i="10"/>
  <c r="N22" i="10"/>
  <c r="J22" i="10"/>
  <c r="N18" i="10"/>
  <c r="J18" i="10"/>
  <c r="N14" i="10"/>
  <c r="J14" i="10"/>
  <c r="N10" i="10"/>
  <c r="J10" i="10"/>
  <c r="N6" i="10"/>
  <c r="J6" i="10"/>
  <c r="Q12" i="10"/>
  <c r="M16" i="10"/>
  <c r="I20" i="10"/>
  <c r="J5" i="10"/>
  <c r="P4" i="10"/>
  <c r="L4" i="10"/>
  <c r="H22" i="10"/>
  <c r="H18" i="10"/>
  <c r="H14" i="10"/>
  <c r="H10" i="10"/>
  <c r="K23" i="10"/>
  <c r="P22" i="10"/>
  <c r="L22" i="10"/>
  <c r="Q21" i="10"/>
  <c r="M21" i="10"/>
  <c r="I21" i="10"/>
  <c r="N20" i="10"/>
  <c r="J20" i="10"/>
  <c r="O19" i="10"/>
  <c r="P18" i="10"/>
  <c r="L18" i="10"/>
  <c r="Q17" i="10"/>
  <c r="M17" i="10"/>
  <c r="I17" i="10"/>
  <c r="N16" i="10"/>
  <c r="J16" i="10"/>
  <c r="P14" i="10"/>
  <c r="L14" i="10"/>
  <c r="N12" i="10"/>
  <c r="J12" i="10"/>
  <c r="P10" i="10"/>
  <c r="L10" i="10"/>
  <c r="N8" i="10"/>
  <c r="O7" i="10"/>
  <c r="K11" i="10"/>
  <c r="K4" i="10"/>
  <c r="I16" i="10"/>
  <c r="M12" i="10"/>
  <c r="Q8" i="10"/>
  <c r="H23" i="10"/>
  <c r="H19" i="10"/>
  <c r="H15" i="10"/>
  <c r="H11" i="10"/>
  <c r="H7" i="10"/>
  <c r="P23" i="10"/>
  <c r="L23" i="10"/>
  <c r="Q22" i="10"/>
  <c r="M22" i="10"/>
  <c r="I22" i="10"/>
  <c r="O21" i="10"/>
  <c r="J21" i="10"/>
  <c r="O20" i="10"/>
  <c r="K20" i="10"/>
  <c r="P19" i="10"/>
  <c r="L19" i="10"/>
  <c r="Q18" i="10"/>
  <c r="M18" i="10"/>
  <c r="I18" i="10"/>
  <c r="N17" i="10"/>
  <c r="K17" i="10"/>
  <c r="O16" i="10"/>
  <c r="K16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0" i="10"/>
  <c r="K19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0" i="10"/>
  <c r="Q16" i="10"/>
  <c r="K15" i="10"/>
  <c r="O11" i="10"/>
  <c r="I8" i="10"/>
  <c r="Q13" i="10"/>
  <c r="M9" i="10"/>
  <c r="H21" i="10"/>
  <c r="H17" i="10"/>
  <c r="H13" i="10"/>
  <c r="H9" i="10"/>
  <c r="H5" i="10"/>
  <c r="N23" i="10"/>
  <c r="J23" i="10"/>
  <c r="O22" i="10"/>
  <c r="K22" i="10"/>
  <c r="P21" i="10"/>
  <c r="L21" i="10"/>
  <c r="N19" i="10"/>
  <c r="J19" i="10"/>
  <c r="O18" i="10"/>
  <c r="K18" i="10"/>
  <c r="P17" i="10"/>
  <c r="L17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3" i="10"/>
  <c r="K21" i="10"/>
  <c r="O17" i="10"/>
  <c r="K13" i="10"/>
  <c r="O9" i="10"/>
  <c r="K5" i="10"/>
  <c r="N21" i="10"/>
  <c r="J17" i="10"/>
  <c r="N13" i="10"/>
  <c r="J9" i="10"/>
  <c r="N5" i="10"/>
  <c r="D77" i="6"/>
  <c r="D44" i="6"/>
  <c r="D242" i="6"/>
  <c r="D209" i="6"/>
  <c r="D176" i="6"/>
  <c r="D143" i="6"/>
  <c r="D9" i="6"/>
  <c r="D110" i="6"/>
  <c r="D175" i="6"/>
  <c r="D207" i="6"/>
  <c r="D7" i="6"/>
  <c r="D174" i="6"/>
  <c r="D42" i="6"/>
  <c r="D75" i="6"/>
  <c r="D208" i="6"/>
  <c r="D8" i="6"/>
  <c r="D108" i="6"/>
  <c r="D142" i="6"/>
  <c r="D141" i="6"/>
  <c r="D241" i="6"/>
  <c r="D43" i="6"/>
  <c r="D240" i="6"/>
  <c r="D76" i="6"/>
  <c r="D109" i="6"/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107" i="6"/>
  <c r="C207" i="6"/>
  <c r="B47" i="6"/>
  <c r="C116" i="6"/>
  <c r="B51" i="6"/>
  <c r="C41" i="6"/>
  <c r="B215" i="6"/>
  <c r="B76" i="6"/>
  <c r="B10" i="6"/>
  <c r="C8" i="6"/>
  <c r="B75" i="6"/>
  <c r="B244" i="6"/>
  <c r="B145" i="6"/>
  <c r="C52" i="6"/>
  <c r="B113" i="6"/>
  <c r="B42" i="6"/>
  <c r="B211" i="6"/>
  <c r="C84" i="6"/>
  <c r="B78" i="6"/>
  <c r="C82" i="6"/>
  <c r="B143" i="6"/>
  <c r="B239" i="6"/>
  <c r="C42" i="6"/>
  <c r="C217" i="6"/>
  <c r="C242" i="6"/>
  <c r="C243" i="6"/>
  <c r="B85" i="6"/>
  <c r="B149" i="6"/>
  <c r="D140" i="6"/>
  <c r="B183" i="6"/>
  <c r="C210" i="6"/>
  <c r="C108" i="6"/>
  <c r="B11" i="6"/>
  <c r="B206" i="6"/>
  <c r="B12" i="6"/>
  <c r="B15" i="6"/>
  <c r="B108" i="6"/>
  <c r="C150" i="6"/>
  <c r="B148" i="6"/>
  <c r="C245" i="6"/>
  <c r="C78" i="6"/>
  <c r="C83" i="6"/>
  <c r="C178" i="6"/>
  <c r="B46" i="6"/>
  <c r="C240" i="6"/>
  <c r="C183" i="6"/>
  <c r="B84" i="6"/>
  <c r="C213" i="6"/>
  <c r="C10" i="6"/>
  <c r="C76" i="6"/>
  <c r="B14" i="6"/>
  <c r="C14" i="6"/>
  <c r="C51" i="6"/>
  <c r="D173" i="6"/>
  <c r="C216" i="6"/>
  <c r="C11" i="6"/>
  <c r="B48" i="6"/>
  <c r="C214" i="6"/>
  <c r="D6" i="6"/>
  <c r="C47" i="6"/>
  <c r="B107" i="6"/>
  <c r="B142" i="6"/>
  <c r="B249" i="6"/>
  <c r="C6" i="6"/>
  <c r="B83" i="6"/>
  <c r="B43" i="6"/>
  <c r="C211" i="6"/>
  <c r="B179" i="6"/>
  <c r="C50" i="6"/>
  <c r="C182" i="6"/>
  <c r="C249" i="6"/>
  <c r="B248" i="6"/>
  <c r="C15" i="6"/>
  <c r="B141" i="6"/>
  <c r="C85" i="6"/>
  <c r="B7" i="6"/>
  <c r="B150" i="6"/>
  <c r="B181" i="6"/>
  <c r="B44" i="6"/>
  <c r="B212" i="6"/>
  <c r="B180" i="6"/>
  <c r="B52" i="6"/>
  <c r="C79" i="6"/>
  <c r="C44" i="6"/>
  <c r="B109" i="6"/>
  <c r="B247" i="6"/>
  <c r="B217" i="6"/>
  <c r="D206" i="6"/>
  <c r="B9" i="6"/>
  <c r="C141" i="6"/>
  <c r="B147" i="6"/>
  <c r="C173" i="6"/>
  <c r="B140" i="6"/>
  <c r="B13" i="6"/>
  <c r="C176" i="6"/>
  <c r="C181" i="6"/>
  <c r="B116" i="6"/>
  <c r="C151" i="6"/>
  <c r="D239" i="6"/>
  <c r="C149" i="6"/>
  <c r="B16" i="6"/>
  <c r="B45" i="6"/>
  <c r="B49" i="6"/>
  <c r="C9" i="6"/>
  <c r="B240" i="6"/>
  <c r="B80" i="6"/>
  <c r="B210" i="6"/>
  <c r="B250" i="6"/>
  <c r="B246" i="6"/>
  <c r="B79" i="6"/>
  <c r="B151" i="6"/>
  <c r="C177" i="6"/>
  <c r="C43" i="6"/>
  <c r="C146" i="6"/>
  <c r="C215" i="6"/>
  <c r="C179" i="6"/>
  <c r="B112" i="6"/>
  <c r="C145" i="6"/>
  <c r="B6" i="6"/>
  <c r="C109" i="6"/>
  <c r="C180" i="6"/>
  <c r="C13" i="6"/>
  <c r="D41" i="6"/>
  <c r="C142" i="6"/>
  <c r="C140" i="6"/>
  <c r="B50" i="6"/>
  <c r="C250" i="6"/>
  <c r="B74" i="6"/>
  <c r="C144" i="6"/>
  <c r="C77" i="6"/>
  <c r="C113" i="6"/>
  <c r="B216" i="6"/>
  <c r="C17" i="6"/>
  <c r="B173" i="6"/>
  <c r="C111" i="6"/>
  <c r="B177" i="6"/>
  <c r="C12" i="6"/>
  <c r="C75" i="6"/>
  <c r="C241" i="6"/>
  <c r="C239" i="6"/>
  <c r="C112" i="6"/>
  <c r="C46" i="6"/>
  <c r="D107" i="6"/>
  <c r="C81" i="6"/>
  <c r="C209" i="6"/>
  <c r="C206" i="6"/>
  <c r="C115" i="6"/>
  <c r="B213" i="6"/>
  <c r="C117" i="6"/>
  <c r="C175" i="6"/>
  <c r="C244" i="6"/>
  <c r="C48" i="6"/>
  <c r="B209" i="6"/>
  <c r="B214" i="6"/>
  <c r="C147" i="6"/>
  <c r="B176" i="6"/>
  <c r="C7" i="6"/>
  <c r="C110" i="6"/>
  <c r="C118" i="6"/>
  <c r="B207" i="6"/>
  <c r="B242" i="6"/>
  <c r="B245" i="6"/>
  <c r="C45" i="6"/>
  <c r="B178" i="6"/>
  <c r="B184" i="6"/>
  <c r="B208" i="6"/>
  <c r="C247" i="6"/>
  <c r="B81" i="6"/>
  <c r="B115" i="6"/>
  <c r="B243" i="6"/>
  <c r="B111" i="6"/>
  <c r="C246" i="6"/>
  <c r="B241" i="6"/>
  <c r="B117" i="6"/>
  <c r="B182" i="6"/>
  <c r="C143" i="6"/>
  <c r="B146" i="6"/>
  <c r="D74" i="6"/>
  <c r="B118" i="6"/>
  <c r="C80" i="6"/>
  <c r="C208" i="6"/>
  <c r="B110" i="6"/>
  <c r="C248" i="6"/>
  <c r="C212" i="6"/>
  <c r="C114" i="6"/>
  <c r="C49" i="6"/>
  <c r="C16" i="6"/>
  <c r="B175" i="6"/>
  <c r="C184" i="6"/>
  <c r="C74" i="6"/>
  <c r="C174" i="6"/>
  <c r="B8" i="6"/>
  <c r="B82" i="6"/>
  <c r="B174" i="6"/>
  <c r="B144" i="6"/>
  <c r="B114" i="6"/>
  <c r="C148" i="6"/>
  <c r="B77" i="6"/>
  <c r="E148" i="6" l="1"/>
  <c r="F148" i="6"/>
  <c r="G148" i="6"/>
  <c r="H148" i="6"/>
  <c r="F174" i="6"/>
  <c r="E174" i="6"/>
  <c r="G174" i="6"/>
  <c r="H174" i="6"/>
  <c r="G74" i="6"/>
  <c r="E74" i="6"/>
  <c r="C86" i="6"/>
  <c r="H184" i="6"/>
  <c r="F184" i="6"/>
  <c r="E184" i="6"/>
  <c r="G184" i="6"/>
  <c r="H16" i="6"/>
  <c r="E16" i="6"/>
  <c r="G16" i="6"/>
  <c r="F16" i="6"/>
  <c r="H49" i="6"/>
  <c r="E49" i="6"/>
  <c r="F49" i="6"/>
  <c r="G49" i="6"/>
  <c r="E114" i="6"/>
  <c r="H114" i="6"/>
  <c r="F114" i="6"/>
  <c r="G114" i="6"/>
  <c r="F212" i="6"/>
  <c r="G212" i="6"/>
  <c r="H212" i="6"/>
  <c r="E212" i="6"/>
  <c r="E248" i="6"/>
  <c r="H248" i="6"/>
  <c r="G248" i="6"/>
  <c r="F248" i="6"/>
  <c r="E208" i="6"/>
  <c r="F208" i="6"/>
  <c r="H208" i="6"/>
  <c r="G208" i="6"/>
  <c r="E80" i="6"/>
  <c r="F80" i="6"/>
  <c r="G80" i="6"/>
  <c r="H80" i="6"/>
  <c r="F74" i="6"/>
  <c r="D86" i="6"/>
  <c r="H74" i="6"/>
  <c r="F143" i="6"/>
  <c r="H143" i="6"/>
  <c r="G143" i="6"/>
  <c r="E143" i="6"/>
  <c r="E246" i="6"/>
  <c r="G246" i="6"/>
  <c r="H246" i="6"/>
  <c r="F246" i="6"/>
  <c r="G247" i="6"/>
  <c r="F247" i="6"/>
  <c r="H247" i="6"/>
  <c r="E247" i="6"/>
  <c r="F45" i="6"/>
  <c r="H45" i="6"/>
  <c r="G45" i="6"/>
  <c r="E45" i="6"/>
  <c r="E118" i="6"/>
  <c r="G118" i="6"/>
  <c r="H118" i="6"/>
  <c r="F118" i="6"/>
  <c r="H110" i="6"/>
  <c r="E110" i="6"/>
  <c r="G110" i="6"/>
  <c r="F110" i="6"/>
  <c r="E7" i="6"/>
  <c r="H7" i="6"/>
  <c r="G7" i="6"/>
  <c r="F7" i="6"/>
  <c r="H147" i="6"/>
  <c r="E147" i="6"/>
  <c r="G147" i="6"/>
  <c r="F147" i="6"/>
  <c r="H48" i="6"/>
  <c r="G48" i="6"/>
  <c r="F48" i="6"/>
  <c r="E48" i="6"/>
  <c r="F244" i="6"/>
  <c r="E244" i="6"/>
  <c r="G244" i="6"/>
  <c r="H244" i="6"/>
  <c r="G175" i="6"/>
  <c r="H175" i="6"/>
  <c r="E175" i="6"/>
  <c r="F175" i="6"/>
  <c r="H117" i="6"/>
  <c r="E117" i="6"/>
  <c r="F117" i="6"/>
  <c r="G117" i="6"/>
  <c r="F115" i="6"/>
  <c r="G115" i="6"/>
  <c r="H115" i="6"/>
  <c r="E115" i="6"/>
  <c r="E206" i="6"/>
  <c r="I206" i="6" s="1"/>
  <c r="C218" i="6"/>
  <c r="G206" i="6"/>
  <c r="F209" i="6"/>
  <c r="G209" i="6"/>
  <c r="H209" i="6"/>
  <c r="E209" i="6"/>
  <c r="E81" i="6"/>
  <c r="F81" i="6"/>
  <c r="H81" i="6"/>
  <c r="G81" i="6"/>
  <c r="F107" i="6"/>
  <c r="H107" i="6"/>
  <c r="D119" i="6"/>
  <c r="F46" i="6"/>
  <c r="E46" i="6"/>
  <c r="H46" i="6"/>
  <c r="G46" i="6"/>
  <c r="F112" i="6"/>
  <c r="G112" i="6"/>
  <c r="E112" i="6"/>
  <c r="H112" i="6"/>
  <c r="G239" i="6"/>
  <c r="C251" i="6"/>
  <c r="E239" i="6"/>
  <c r="F241" i="6"/>
  <c r="E241" i="6"/>
  <c r="H241" i="6"/>
  <c r="G241" i="6"/>
  <c r="G75" i="6"/>
  <c r="E75" i="6"/>
  <c r="F75" i="6"/>
  <c r="H75" i="6"/>
  <c r="H12" i="6"/>
  <c r="F12" i="6"/>
  <c r="G12" i="6"/>
  <c r="E12" i="6"/>
  <c r="H111" i="6"/>
  <c r="E111" i="6"/>
  <c r="F111" i="6"/>
  <c r="G111" i="6"/>
  <c r="B185" i="6"/>
  <c r="H17" i="6"/>
  <c r="F17" i="6"/>
  <c r="E17" i="6"/>
  <c r="G17" i="6"/>
  <c r="G113" i="6"/>
  <c r="E113" i="6"/>
  <c r="H113" i="6"/>
  <c r="F113" i="6"/>
  <c r="E77" i="6"/>
  <c r="H77" i="6"/>
  <c r="G77" i="6"/>
  <c r="F77" i="6"/>
  <c r="F144" i="6"/>
  <c r="G144" i="6"/>
  <c r="H144" i="6"/>
  <c r="E144" i="6"/>
  <c r="B86" i="6"/>
  <c r="F250" i="6"/>
  <c r="E250" i="6"/>
  <c r="H250" i="6"/>
  <c r="G250" i="6"/>
  <c r="E140" i="6"/>
  <c r="G140" i="6"/>
  <c r="C152" i="6"/>
  <c r="H142" i="6"/>
  <c r="E142" i="6"/>
  <c r="F142" i="6"/>
  <c r="G142" i="6"/>
  <c r="F41" i="6"/>
  <c r="H41" i="6"/>
  <c r="D53" i="6"/>
  <c r="F13" i="6"/>
  <c r="G13" i="6"/>
  <c r="E13" i="6"/>
  <c r="H13" i="6"/>
  <c r="H180" i="6"/>
  <c r="F180" i="6"/>
  <c r="E180" i="6"/>
  <c r="G180" i="6"/>
  <c r="H109" i="6"/>
  <c r="G109" i="6"/>
  <c r="F109" i="6"/>
  <c r="E109" i="6"/>
  <c r="B18" i="6"/>
  <c r="G145" i="6"/>
  <c r="F145" i="6"/>
  <c r="E145" i="6"/>
  <c r="H145" i="6"/>
  <c r="G179" i="6"/>
  <c r="F179" i="6"/>
  <c r="H179" i="6"/>
  <c r="E179" i="6"/>
  <c r="E215" i="6"/>
  <c r="H215" i="6"/>
  <c r="F215" i="6"/>
  <c r="G215" i="6"/>
  <c r="H146" i="6"/>
  <c r="E146" i="6"/>
  <c r="G146" i="6"/>
  <c r="F146" i="6"/>
  <c r="G43" i="6"/>
  <c r="H43" i="6"/>
  <c r="F43" i="6"/>
  <c r="E43" i="6"/>
  <c r="E177" i="6"/>
  <c r="H177" i="6"/>
  <c r="G177" i="6"/>
  <c r="F177" i="6"/>
  <c r="F9" i="6"/>
  <c r="G9" i="6"/>
  <c r="E9" i="6"/>
  <c r="H9" i="6"/>
  <c r="G149" i="6"/>
  <c r="E149" i="6"/>
  <c r="F149" i="6"/>
  <c r="H149" i="6"/>
  <c r="D251" i="6"/>
  <c r="H239" i="6"/>
  <c r="F239" i="6"/>
  <c r="H151" i="6"/>
  <c r="F151" i="6"/>
  <c r="G151" i="6"/>
  <c r="E151" i="6"/>
  <c r="H181" i="6"/>
  <c r="F181" i="6"/>
  <c r="G181" i="6"/>
  <c r="E181" i="6"/>
  <c r="E176" i="6"/>
  <c r="F176" i="6"/>
  <c r="G176" i="6"/>
  <c r="H176" i="6"/>
  <c r="B152" i="6"/>
  <c r="E173" i="6"/>
  <c r="C185" i="6"/>
  <c r="G173" i="6"/>
  <c r="F141" i="6"/>
  <c r="H141" i="6"/>
  <c r="G141" i="6"/>
  <c r="E141" i="6"/>
  <c r="D218" i="6"/>
  <c r="H206" i="6"/>
  <c r="F206" i="6"/>
  <c r="E44" i="6"/>
  <c r="G44" i="6"/>
  <c r="H44" i="6"/>
  <c r="F44" i="6"/>
  <c r="E79" i="6"/>
  <c r="F79" i="6"/>
  <c r="H79" i="6"/>
  <c r="G79" i="6"/>
  <c r="F85" i="6"/>
  <c r="G85" i="6"/>
  <c r="E85" i="6"/>
  <c r="H85" i="6"/>
  <c r="F15" i="6"/>
  <c r="G15" i="6"/>
  <c r="H15" i="6"/>
  <c r="E15" i="6"/>
  <c r="F249" i="6"/>
  <c r="H249" i="6"/>
  <c r="E249" i="6"/>
  <c r="G249" i="6"/>
  <c r="H182" i="6"/>
  <c r="F182" i="6"/>
  <c r="G182" i="6"/>
  <c r="E182" i="6"/>
  <c r="G50" i="6"/>
  <c r="E50" i="6"/>
  <c r="F50" i="6"/>
  <c r="H50" i="6"/>
  <c r="F211" i="6"/>
  <c r="H211" i="6"/>
  <c r="G211" i="6"/>
  <c r="E211" i="6"/>
  <c r="C18" i="6"/>
  <c r="E6" i="6"/>
  <c r="G6" i="6"/>
  <c r="B119" i="6"/>
  <c r="H47" i="6"/>
  <c r="E47" i="6"/>
  <c r="F47" i="6"/>
  <c r="G47" i="6"/>
  <c r="H6" i="6"/>
  <c r="F6" i="6"/>
  <c r="D18" i="6"/>
  <c r="E33" i="9"/>
  <c r="E214" i="6"/>
  <c r="G214" i="6"/>
  <c r="F214" i="6"/>
  <c r="H214" i="6"/>
  <c r="G11" i="6"/>
  <c r="E11" i="6"/>
  <c r="F11" i="6"/>
  <c r="H11" i="6"/>
  <c r="E216" i="6"/>
  <c r="G216" i="6"/>
  <c r="F216" i="6"/>
  <c r="H216" i="6"/>
  <c r="F173" i="6"/>
  <c r="D185" i="6"/>
  <c r="H173" i="6"/>
  <c r="F51" i="6"/>
  <c r="G51" i="6"/>
  <c r="H51" i="6"/>
  <c r="E51" i="6"/>
  <c r="F14" i="6"/>
  <c r="E14" i="6"/>
  <c r="H14" i="6"/>
  <c r="G14" i="6"/>
  <c r="G76" i="6"/>
  <c r="H76" i="6"/>
  <c r="E76" i="6"/>
  <c r="F76" i="6"/>
  <c r="F10" i="6"/>
  <c r="H10" i="6"/>
  <c r="E10" i="6"/>
  <c r="G10" i="6"/>
  <c r="H213" i="6"/>
  <c r="F213" i="6"/>
  <c r="G213" i="6"/>
  <c r="E213" i="6"/>
  <c r="F183" i="6"/>
  <c r="H183" i="6"/>
  <c r="E183" i="6"/>
  <c r="G183" i="6"/>
  <c r="G240" i="6"/>
  <c r="F240" i="6"/>
  <c r="H240" i="6"/>
  <c r="E240" i="6"/>
  <c r="E178" i="6"/>
  <c r="F178" i="6"/>
  <c r="G178" i="6"/>
  <c r="H178" i="6"/>
  <c r="E83" i="6"/>
  <c r="F83" i="6"/>
  <c r="H83" i="6"/>
  <c r="G83" i="6"/>
  <c r="F78" i="6"/>
  <c r="H78" i="6"/>
  <c r="G78" i="6"/>
  <c r="E78" i="6"/>
  <c r="H245" i="6"/>
  <c r="E245" i="6"/>
  <c r="G245" i="6"/>
  <c r="F245" i="6"/>
  <c r="G150" i="6"/>
  <c r="H150" i="6"/>
  <c r="F150" i="6"/>
  <c r="E150" i="6"/>
  <c r="B218" i="6"/>
  <c r="F108" i="6"/>
  <c r="H108" i="6"/>
  <c r="G108" i="6"/>
  <c r="E108" i="6"/>
  <c r="G210" i="6"/>
  <c r="E210" i="6"/>
  <c r="F210" i="6"/>
  <c r="H210" i="6"/>
  <c r="F140" i="6"/>
  <c r="H140" i="6"/>
  <c r="D152" i="6"/>
  <c r="E243" i="6"/>
  <c r="F243" i="6"/>
  <c r="H243" i="6"/>
  <c r="G243" i="6"/>
  <c r="G242" i="6"/>
  <c r="H242" i="6"/>
  <c r="E242" i="6"/>
  <c r="F242" i="6"/>
  <c r="H217" i="6"/>
  <c r="G217" i="6"/>
  <c r="F217" i="6"/>
  <c r="E217" i="6"/>
  <c r="F42" i="6"/>
  <c r="H42" i="6"/>
  <c r="G42" i="6"/>
  <c r="E42" i="6"/>
  <c r="B251" i="6"/>
  <c r="H82" i="6"/>
  <c r="F82" i="6"/>
  <c r="E82" i="6"/>
  <c r="G82" i="6"/>
  <c r="F84" i="6"/>
  <c r="E84" i="6"/>
  <c r="G84" i="6"/>
  <c r="H84" i="6"/>
  <c r="B53" i="6"/>
  <c r="G52" i="6"/>
  <c r="F52" i="6"/>
  <c r="E52" i="6"/>
  <c r="H52" i="6"/>
  <c r="G8" i="6"/>
  <c r="E8" i="6"/>
  <c r="F8" i="6"/>
  <c r="H8" i="6"/>
  <c r="E41" i="6"/>
  <c r="C53" i="6"/>
  <c r="G41" i="6"/>
  <c r="E116" i="6"/>
  <c r="H116" i="6"/>
  <c r="F116" i="6"/>
  <c r="G116" i="6"/>
  <c r="F207" i="6"/>
  <c r="H207" i="6"/>
  <c r="G207" i="6"/>
  <c r="E207" i="6"/>
  <c r="G107" i="6"/>
  <c r="E107" i="6"/>
  <c r="C119" i="6"/>
  <c r="H86" i="6" l="1"/>
  <c r="F86" i="6"/>
  <c r="H185" i="6"/>
  <c r="F185" i="6"/>
  <c r="H53" i="6"/>
  <c r="F53" i="6"/>
  <c r="F218" i="6"/>
  <c r="H218" i="6"/>
  <c r="F119" i="6"/>
  <c r="H119" i="6"/>
  <c r="H43" i="10"/>
  <c r="E152" i="6"/>
  <c r="G152" i="6"/>
  <c r="G218" i="6"/>
  <c r="E218" i="6"/>
  <c r="E86" i="6"/>
  <c r="G86" i="6"/>
  <c r="F18" i="6"/>
  <c r="H18" i="6"/>
  <c r="E185" i="6"/>
  <c r="G185" i="6"/>
  <c r="E251" i="6"/>
  <c r="G251" i="6"/>
  <c r="E53" i="6"/>
  <c r="G53" i="6"/>
  <c r="I53" i="6" s="1"/>
  <c r="G18" i="6"/>
  <c r="I18" i="6" s="1"/>
  <c r="E18" i="6"/>
  <c r="G119" i="6"/>
  <c r="E119" i="6"/>
  <c r="H152" i="6"/>
  <c r="F152" i="6"/>
  <c r="H251" i="6"/>
  <c r="F251" i="6"/>
  <c r="B7" i="11"/>
  <c r="B64" i="11" a="1"/>
  <c r="B8" i="11"/>
  <c r="C8" i="11"/>
  <c r="C64" i="11" a="1"/>
  <c r="C5" i="11"/>
  <c r="C61" i="11" a="1"/>
  <c r="B6" i="11"/>
  <c r="C63" i="11" a="1"/>
  <c r="B9" i="11"/>
  <c r="C6" i="11"/>
  <c r="B61" i="11" a="1"/>
  <c r="B63" i="11" a="1"/>
  <c r="C62" i="11" a="1"/>
  <c r="B65" i="11" a="1"/>
  <c r="C9" i="11"/>
  <c r="B5" i="11"/>
  <c r="C67" i="11" a="1"/>
  <c r="C65" i="11" a="1"/>
  <c r="B62" i="11" a="1"/>
  <c r="B67" i="11" a="1"/>
  <c r="C7" i="11"/>
  <c r="I7" i="11" l="1"/>
  <c r="G7" i="11"/>
  <c r="B67" i="11"/>
  <c r="B62" i="11"/>
  <c r="C65" i="11"/>
  <c r="C67" i="11"/>
  <c r="F5" i="11"/>
  <c r="H5" i="11"/>
  <c r="I9" i="11"/>
  <c r="G9" i="11"/>
  <c r="B65" i="11"/>
  <c r="D65" i="11" s="1"/>
  <c r="C62" i="11"/>
  <c r="B63" i="11"/>
  <c r="B61" i="11"/>
  <c r="G6" i="11"/>
  <c r="I6" i="11"/>
  <c r="H9" i="11"/>
  <c r="F9" i="11"/>
  <c r="C63" i="11"/>
  <c r="H6" i="11"/>
  <c r="F6" i="11"/>
  <c r="C61" i="11"/>
  <c r="G5" i="11"/>
  <c r="I5" i="11"/>
  <c r="C64" i="11"/>
  <c r="G8" i="11"/>
  <c r="I8" i="11"/>
  <c r="F8" i="11"/>
  <c r="H8" i="11"/>
  <c r="B64" i="11"/>
  <c r="H7" i="11"/>
  <c r="F7" i="11"/>
  <c r="K7" i="11" a="1"/>
  <c r="K6" i="11" a="1"/>
  <c r="J6" i="11" a="1"/>
  <c r="B36" i="11" a="1"/>
  <c r="B32" i="11" a="1"/>
  <c r="K8" i="11" a="1"/>
  <c r="D36" i="11" a="1"/>
  <c r="C36" i="11" a="1"/>
  <c r="J9" i="11" a="1"/>
  <c r="J7" i="11" a="1"/>
  <c r="C32" i="11" a="1"/>
  <c r="K9" i="11" a="1"/>
  <c r="J8" i="11" a="1"/>
  <c r="D33" i="11" a="1"/>
  <c r="B35" i="11" a="1"/>
  <c r="B34" i="11" a="1"/>
  <c r="K5" i="11" a="1"/>
  <c r="D35" i="11" a="1"/>
  <c r="C34" i="11" a="1"/>
  <c r="C33" i="11" a="1"/>
  <c r="B33" i="11" a="1"/>
  <c r="C35" i="11" a="1"/>
  <c r="J5" i="11" a="1"/>
  <c r="D32" i="11" a="1"/>
  <c r="D34" i="11" a="1"/>
  <c r="D64" i="11" l="1"/>
  <c r="D61" i="11"/>
  <c r="D63" i="11"/>
  <c r="D62" i="11"/>
  <c r="E64" i="11"/>
  <c r="E62" i="11"/>
  <c r="E61" i="11"/>
  <c r="E63" i="11"/>
  <c r="D34" i="11"/>
  <c r="D32" i="11"/>
  <c r="J5" i="11"/>
  <c r="C35" i="11"/>
  <c r="B33" i="11"/>
  <c r="C33" i="11"/>
  <c r="C34" i="11"/>
  <c r="D35" i="11"/>
  <c r="K5" i="11"/>
  <c r="B34" i="11"/>
  <c r="B35" i="11"/>
  <c r="D33" i="11"/>
  <c r="J8" i="11"/>
  <c r="K9" i="11"/>
  <c r="C32" i="11"/>
  <c r="J7" i="11"/>
  <c r="J9" i="11"/>
  <c r="C36" i="11"/>
  <c r="D36" i="11"/>
  <c r="K8" i="11"/>
  <c r="B32" i="11"/>
  <c r="B36" i="11"/>
  <c r="J6" i="11"/>
  <c r="K6" i="11"/>
  <c r="K7" i="11"/>
  <c r="C66" i="11"/>
  <c r="E66" i="11" s="1"/>
  <c r="E67" i="11"/>
  <c r="E65" i="11"/>
  <c r="F65" i="11" s="1"/>
  <c r="B66" i="11"/>
  <c r="D66" i="11" s="1"/>
  <c r="D67" i="11"/>
  <c r="I32" i="11" a="1"/>
  <c r="G32" i="11" a="1"/>
  <c r="H34" i="11" a="1"/>
  <c r="H35" i="11" a="1"/>
  <c r="G36" i="11" a="1"/>
  <c r="G33" i="11" a="1"/>
  <c r="H33" i="11" a="1"/>
  <c r="H32" i="11" a="1"/>
  <c r="H36" i="11" a="1"/>
  <c r="G35" i="11" a="1"/>
  <c r="G34" i="11" a="1"/>
  <c r="I32" i="11" l="1"/>
  <c r="F64" i="11"/>
  <c r="F63" i="11"/>
  <c r="F61" i="11"/>
  <c r="F62" i="11"/>
  <c r="L7" i="11"/>
  <c r="F66" i="11"/>
  <c r="L5" i="11"/>
  <c r="G34" i="11"/>
  <c r="G35" i="11"/>
  <c r="H36" i="11"/>
  <c r="H32" i="11"/>
  <c r="H33" i="11"/>
  <c r="G33" i="11"/>
  <c r="G36" i="11"/>
  <c r="H35" i="11"/>
  <c r="H34" i="11"/>
  <c r="G32" i="11"/>
  <c r="L6" i="11"/>
  <c r="E32" i="11"/>
  <c r="E34" i="11"/>
  <c r="L9" i="11"/>
  <c r="L8" i="11"/>
  <c r="E35" i="11"/>
  <c r="E36" i="11"/>
  <c r="F33" i="11" a="1"/>
  <c r="I36" i="11" a="1"/>
  <c r="F32" i="11" a="1"/>
  <c r="I33" i="11" a="1"/>
  <c r="I35" i="11" a="1"/>
  <c r="I34" i="11" a="1"/>
  <c r="F34" i="11" a="1"/>
  <c r="F35" i="11" a="1"/>
  <c r="F36" i="11" a="1"/>
  <c r="F36" i="11" l="1"/>
  <c r="F35" i="11"/>
  <c r="F34" i="11"/>
  <c r="I34" i="11"/>
  <c r="J34" i="11" s="1"/>
  <c r="I35" i="11"/>
  <c r="J35" i="11" s="1"/>
  <c r="I33" i="11"/>
  <c r="J33" i="11" s="1"/>
  <c r="F32" i="11"/>
  <c r="J32" i="11"/>
  <c r="I36" i="11"/>
  <c r="J36" i="11" s="1"/>
  <c r="F3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tc={3DD1CF80-212B-48F8-8286-9798E0DC7925}</author>
  </authors>
  <commentList>
    <comment ref="D41" authorId="0" shapeId="0" xr:uid="{3DD1CF80-212B-48F8-8286-9798E0DC7925}">
      <text>
        <t>[Threaded comment]
Your version of Excel allows you to read this threaded comment; however, any edits to it will get removed if the file is opened in a newer version of Excel. Learn more: https://go.microsoft.com/fwlink/?linkid=870924
Comment:
    Paslēptās šūnas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tc={4B2A0BBD-E08D-4C1C-B8BB-05CFB9B6B7E9}</author>
  </authors>
  <commentList>
    <comment ref="J31" authorId="0" shapeId="0" xr:uid="{4B2A0BBD-E08D-4C1C-B8BB-05CFB9B6B7E9}">
      <text>
        <t>[Threaded comment]
Your version of Excel allows you to read this threaded comment; however, any edits to it will get removed if the file is opened in a newer version of Excel. Learn more: https://go.microsoft.com/fwlink/?linkid=870924
Comment:
    tabula_ikm A:D kolonnas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<sst xmlns="http://schemas.openxmlformats.org/spreadsheetml/2006/main" count="478" uniqueCount="181">
  <si>
    <t>Pievienotās vērtības nodoklis (PVN)</t>
  </si>
  <si>
    <t>Akcīzes nodoklis (AN)</t>
  </si>
  <si>
    <t>Starpība, %</t>
  </si>
  <si>
    <t>Uzņēmumu ienākuma nodoklis (UIN)</t>
  </si>
  <si>
    <t>Nenodokļu ieņēmumi</t>
  </si>
  <si>
    <t>Mēnesis</t>
  </si>
  <si>
    <t>t-1</t>
  </si>
  <si>
    <t>t</t>
  </si>
  <si>
    <t>janv</t>
  </si>
  <si>
    <t>febr</t>
  </si>
  <si>
    <t>marts</t>
  </si>
  <si>
    <t>apr</t>
  </si>
  <si>
    <t>maijs</t>
  </si>
  <si>
    <t>jūn</t>
  </si>
  <si>
    <t>jūl</t>
  </si>
  <si>
    <t>aug</t>
  </si>
  <si>
    <t>sept</t>
  </si>
  <si>
    <t>okt</t>
  </si>
  <si>
    <t>nov</t>
  </si>
  <si>
    <t>dec</t>
  </si>
  <si>
    <t>Iedzīvotāju ienākuma nodoklis (IIN)</t>
  </si>
  <si>
    <t>kopā</t>
  </si>
  <si>
    <t>(milj. eiro)</t>
  </si>
  <si>
    <t>t-2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</si>
  <si>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</si>
  <si>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</si>
  <si>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</si>
  <si>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</si>
  <si>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</si>
  <si>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</si>
  <si>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</si>
  <si>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</si>
  <si>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</si>
  <si>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</si>
  <si>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</si>
  <si>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</si>
  <si>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</si>
  <si>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Nodokļu un nenodokļu ieņēmumi pa veidiem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</si>
  <si>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</si>
  <si>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</si>
  <si>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</si>
  <si>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</si>
  <si>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</si>
  <si>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</si>
  <si>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</si>
  <si>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</si>
  <si>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</si>
  <si>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</si>
  <si>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</si>
  <si>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</si>
  <si>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</si>
  <si>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</si>
  <si>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</si>
  <si>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</si>
  <si>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</si>
  <si>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</si>
  <si>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</si>
  <si>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</si>
  <si>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</si>
  <si>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</si>
  <si>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</si>
  <si>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</si>
  <si>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</si>
  <si>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</si>
  <si>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</si>
  <si>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</si>
  <si>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</si>
  <si>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</si>
  <si>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</si>
  <si>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</si>
  <si>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Sociālās apdrošināšanas iemaksas (VSAOI)</t>
  </si>
  <si>
    <t>(3-2)/2%</t>
  </si>
  <si>
    <t>(4-3)/3%</t>
  </si>
  <si>
    <t>pieaugums</t>
  </si>
  <si>
    <t>pieaugums 2021-2020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</si>
  <si>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</si>
  <si>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</si>
  <si>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</si>
  <si>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</si>
  <si>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</si>
  <si>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</si>
  <si>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</si>
  <si>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</si>
  <si>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</si>
  <si>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</si>
  <si>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</si>
  <si>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</si>
  <si>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</si>
  <si>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Iekasēto nodokļu īpatsvars tekošajā mēnesī</t>
  </si>
  <si>
    <t>Pārējie nodokļi</t>
  </si>
  <si>
    <t>Iekasēts (milj. eiro)</t>
  </si>
  <si>
    <t>Īpatsvars (%)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</si>
  <si>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</si>
  <si>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</si>
  <si>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</si>
  <si>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</si>
  <si>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</si>
  <si>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</si>
  <si>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</si>
  <si>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</si>
  <si>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</si>
  <si>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Nekustamā īpāšuma nodoklis</t>
  </si>
  <si>
    <t>Nodokļu kumulatīvā izpilde pret plānu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</si>
  <si>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</si>
  <si>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</si>
  <si>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</si>
  <si>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</si>
  <si>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</si>
  <si>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</si>
  <si>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</si>
  <si>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</si>
  <si>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</si>
  <si>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</si>
  <si>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</si>
  <si>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</si>
  <si>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</si>
  <si>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</si>
  <si>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</si>
  <si>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</si>
  <si>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</si>
  <si>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</si>
  <si>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</si>
  <si>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</si>
  <si>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ŠĪ mēneša izpilde pret plānu un reālais salīdzinājums</t>
  </si>
  <si>
    <t>Iekasēts pret IKP</t>
  </si>
  <si>
    <t>Starpība, procentpunkti</t>
  </si>
  <si>
    <t>starpība</t>
  </si>
  <si>
    <t>t - (t-1)</t>
  </si>
  <si>
    <t>iekasēts 2022. gadā pret IKP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</si>
  <si>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</si>
  <si>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</si>
  <si>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</si>
  <si>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</si>
  <si>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</si>
  <si>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</si>
  <si>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</si>
  <si>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</si>
  <si>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</si>
  <si>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1.2 Ieņēmumi no uzņēmumu ienākuma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</si>
  <si>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</si>
  <si>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</si>
  <si>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</si>
  <si>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</si>
  <si>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</si>
  <si>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</si>
  <si>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</si>
  <si>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</si>
  <si>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</si>
  <si>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</si>
  <si>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</si>
  <si>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</si>
  <si>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</si>
  <si>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</si>
  <si>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</si>
  <si>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</si>
  <si>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</si>
  <si>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</si>
  <si>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</si>
  <si>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</si>
  <si>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</si>
  <si>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</si>
  <si>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</si>
  <si>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2022-2021</t>
  </si>
  <si>
    <t>iekasēts 2023. gadā pret IKP</t>
  </si>
  <si>
    <t>2023. g. plāns attiecīgajā mēnesī (2022. g. cenās)</t>
  </si>
  <si>
    <t>iekasēts 2022</t>
  </si>
  <si>
    <t>iekasēts 2023</t>
  </si>
  <si>
    <t>gada plāns 2022</t>
  </si>
  <si>
    <t>gada plāns 2023</t>
  </si>
  <si>
    <t>izpilde 2022</t>
  </si>
  <si>
    <t>izpilde 2023</t>
  </si>
  <si>
    <t>pret IKP 2022</t>
  </si>
  <si>
    <t>pret IKP 2023</t>
  </si>
  <si>
    <t>plāns 2023</t>
  </si>
  <si>
    <t>reāli iekasēts 2023. g. attiecīgajā mēnesī (2022. g. cenās)</t>
  </si>
  <si>
    <t>īpatsvars 2022</t>
  </si>
  <si>
    <t>īpatsvars 2023</t>
  </si>
  <si>
    <t>Faktiski iekasētais, milj. €</t>
  </si>
  <si>
    <t>2023M02</t>
  </si>
  <si>
    <t>2023M03</t>
  </si>
  <si>
    <t>2023M04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</si>
</sst>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yyyy/mm"/>
    <numFmt numFmtId="165" formatCode="#,##0.0"/>
    <numFmt numFmtId="166" formatCode="mmm"/>
    <numFmt numFmtId="167" formatCode="0&quot;.&quot;0"/>
    <numFmt numFmtId="168" formatCode="_-* #,##0.00\ &quot;DM&quot;_-;\-* #,##0.00\ &quot;DM&quot;_-;_-* &quot;-&quot;??\ &quot;DM&quot;_-;_-@_-"/>
    <numFmt numFmtId="169" formatCode="_-* #,##0.00\ _D_M_-;\-* #,##0.00\ _D_M_-;_-* &quot;-&quot;??\ _D_M_-;_-@_-"/>
    <numFmt numFmtId="170" formatCode="0.0%"/>
    <numFmt numFmtId="171" formatCode="0.0"/>
    <numFmt numFmtId="172" formatCode="0.000"/>
  </numFmts>
  <fonts count="7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i/>
      <sz val="11"/>
      <name val="Calibri Light"/>
      <family val="2"/>
      <charset val="186"/>
      <scheme val="major"/>
    </font>
    <font>
      <sz val="11"/>
      <name val="Times New Roman"/>
      <family val="1"/>
      <charset val="186"/>
    </font>
    <font>
      <sz val="10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6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13" applyNumberFormat="0" applyAlignment="0" applyProtection="0"/>
    <xf numFmtId="0" fontId="19" fillId="49" borderId="13" applyNumberFormat="0" applyAlignment="0" applyProtection="0"/>
    <xf numFmtId="0" fontId="19" fillId="49" borderId="13" applyNumberFormat="0" applyAlignment="0" applyProtection="0"/>
    <xf numFmtId="0" fontId="20" fillId="36" borderId="14" applyNumberFormat="0" applyAlignment="0" applyProtection="0"/>
    <xf numFmtId="0" fontId="20" fillId="36" borderId="14" applyNumberFormat="0" applyAlignment="0" applyProtection="0"/>
    <xf numFmtId="0" fontId="20" fillId="36" borderId="14" applyNumberFormat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13" applyNumberFormat="0" applyAlignment="0" applyProtection="0"/>
    <xf numFmtId="0" fontId="25" fillId="46" borderId="13" applyNumberFormat="0" applyAlignment="0" applyProtection="0"/>
    <xf numFmtId="0" fontId="25" fillId="46" borderId="13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9" applyNumberFormat="0" applyFont="0" applyAlignment="0" applyProtection="0"/>
    <xf numFmtId="0" fontId="4" fillId="45" borderId="19" applyNumberFormat="0" applyFont="0" applyAlignment="0" applyProtection="0"/>
    <xf numFmtId="0" fontId="4" fillId="45" borderId="19" applyNumberFormat="0" applyFont="0" applyAlignment="0" applyProtection="0"/>
    <xf numFmtId="0" fontId="28" fillId="49" borderId="20" applyNumberFormat="0" applyAlignment="0" applyProtection="0"/>
    <xf numFmtId="0" fontId="28" fillId="49" borderId="20" applyNumberFormat="0" applyAlignment="0" applyProtection="0"/>
    <xf numFmtId="0" fontId="28" fillId="49" borderId="20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11" applyNumberFormat="0" applyProtection="0">
      <alignment vertical="center"/>
    </xf>
    <xf numFmtId="0" fontId="4" fillId="0" borderId="0"/>
    <xf numFmtId="4" fontId="31" fillId="56" borderId="21" applyNumberFormat="0" applyProtection="0">
      <alignment vertical="center"/>
    </xf>
    <xf numFmtId="0" fontId="4" fillId="0" borderId="0"/>
    <xf numFmtId="0" fontId="4" fillId="0" borderId="0"/>
    <xf numFmtId="4" fontId="30" fillId="56" borderId="21" applyNumberFormat="0" applyProtection="0">
      <alignment vertical="center"/>
    </xf>
    <xf numFmtId="0" fontId="4" fillId="0" borderId="0"/>
    <xf numFmtId="4" fontId="30" fillId="56" borderId="21" applyNumberFormat="0" applyProtection="0">
      <alignment vertical="center"/>
    </xf>
    <xf numFmtId="0" fontId="4" fillId="0" borderId="0"/>
    <xf numFmtId="0" fontId="4" fillId="0" borderId="0"/>
    <xf numFmtId="4" fontId="29" fillId="57" borderId="11" applyNumberFormat="0" applyProtection="0">
      <alignment horizontal="left" vertical="center" indent="1"/>
    </xf>
    <xf numFmtId="0" fontId="4" fillId="0" borderId="0"/>
    <xf numFmtId="4" fontId="31" fillId="56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21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22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21" applyNumberFormat="0" applyProtection="0">
      <alignment horizontal="right" vertical="center"/>
    </xf>
    <xf numFmtId="0" fontId="4" fillId="0" borderId="0"/>
    <xf numFmtId="4" fontId="13" fillId="6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21" applyNumberFormat="0" applyProtection="0">
      <alignment horizontal="right" vertical="center"/>
    </xf>
    <xf numFmtId="0" fontId="4" fillId="0" borderId="0"/>
    <xf numFmtId="4" fontId="13" fillId="7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21" applyNumberFormat="0" applyProtection="0">
      <alignment horizontal="right" vertical="center"/>
    </xf>
    <xf numFmtId="0" fontId="4" fillId="0" borderId="0"/>
    <xf numFmtId="4" fontId="13" fillId="31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21" applyNumberFormat="0" applyProtection="0">
      <alignment horizontal="right" vertical="center"/>
    </xf>
    <xf numFmtId="0" fontId="4" fillId="0" borderId="0"/>
    <xf numFmtId="4" fontId="13" fillId="19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21" applyNumberFormat="0" applyProtection="0">
      <alignment horizontal="right" vertical="center"/>
    </xf>
    <xf numFmtId="0" fontId="4" fillId="0" borderId="0"/>
    <xf numFmtId="4" fontId="13" fillId="23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21" applyNumberFormat="0" applyProtection="0">
      <alignment horizontal="right" vertical="center"/>
    </xf>
    <xf numFmtId="0" fontId="4" fillId="0" borderId="0"/>
    <xf numFmtId="4" fontId="13" fillId="44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21" applyNumberFormat="0" applyProtection="0">
      <alignment horizontal="right" vertical="center"/>
    </xf>
    <xf numFmtId="0" fontId="4" fillId="0" borderId="0"/>
    <xf numFmtId="4" fontId="13" fillId="17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21" applyNumberFormat="0" applyProtection="0">
      <alignment horizontal="right" vertical="center"/>
    </xf>
    <xf numFmtId="0" fontId="4" fillId="0" borderId="0"/>
    <xf numFmtId="4" fontId="13" fillId="59" borderId="21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21" applyNumberFormat="0" applyProtection="0">
      <alignment horizontal="right" vertical="center"/>
    </xf>
    <xf numFmtId="0" fontId="4" fillId="0" borderId="0"/>
    <xf numFmtId="4" fontId="13" fillId="16" borderId="21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23" applyNumberFormat="0" applyProtection="0">
      <alignment horizontal="left" vertical="center" indent="1"/>
    </xf>
    <xf numFmtId="0" fontId="4" fillId="0" borderId="0"/>
    <xf numFmtId="4" fontId="31" fillId="60" borderId="23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22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21" applyNumberFormat="0" applyProtection="0">
      <alignment horizontal="right" vertical="center"/>
    </xf>
    <xf numFmtId="0" fontId="4" fillId="0" borderId="0"/>
    <xf numFmtId="4" fontId="13" fillId="5" borderId="21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22" applyNumberFormat="0" applyProtection="0">
      <alignment horizontal="left" vertical="center" wrapText="1" indent="1"/>
    </xf>
    <xf numFmtId="0" fontId="4" fillId="0" borderId="0"/>
    <xf numFmtId="0" fontId="4" fillId="15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21" applyNumberFormat="0" applyProtection="0">
      <alignment horizontal="left" vertical="top" indent="1"/>
    </xf>
    <xf numFmtId="0" fontId="4" fillId="15" borderId="21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11" applyNumberFormat="0" applyProtection="0">
      <alignment horizontal="left" vertical="center" indent="1"/>
    </xf>
    <xf numFmtId="0" fontId="4" fillId="0" borderId="0"/>
    <xf numFmtId="0" fontId="4" fillId="5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21" applyNumberFormat="0" applyProtection="0">
      <alignment horizontal="left" vertical="top" indent="1"/>
    </xf>
    <xf numFmtId="0" fontId="4" fillId="5" borderId="21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11" applyNumberFormat="0" applyProtection="0">
      <alignment horizontal="left" vertical="center" indent="1"/>
    </xf>
    <xf numFmtId="0" fontId="4" fillId="0" borderId="0"/>
    <xf numFmtId="0" fontId="4" fillId="13" borderId="21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21" applyNumberFormat="0" applyProtection="0">
      <alignment horizontal="left" vertical="top" indent="1"/>
    </xf>
    <xf numFmtId="0" fontId="4" fillId="13" borderId="21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11" applyNumberFormat="0" applyProtection="0">
      <alignment horizontal="left" vertical="center" indent="1"/>
    </xf>
    <xf numFmtId="0" fontId="4" fillId="0" borderId="0"/>
    <xf numFmtId="0" fontId="4" fillId="61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21" applyNumberFormat="0" applyProtection="0">
      <alignment horizontal="left" vertical="top" indent="1"/>
    </xf>
    <xf numFmtId="0" fontId="4" fillId="61" borderId="21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11" applyNumberFormat="0">
      <protection locked="0"/>
    </xf>
    <xf numFmtId="0" fontId="4" fillId="11" borderId="11" applyNumberFormat="0">
      <protection locked="0"/>
    </xf>
    <xf numFmtId="0" fontId="4" fillId="0" borderId="0"/>
    <xf numFmtId="0" fontId="40" fillId="15" borderId="24" applyBorder="0"/>
    <xf numFmtId="0" fontId="4" fillId="0" borderId="0"/>
    <xf numFmtId="4" fontId="13" fillId="9" borderId="21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21" applyNumberFormat="0" applyProtection="0">
      <alignment vertical="center"/>
    </xf>
    <xf numFmtId="0" fontId="4" fillId="0" borderId="0"/>
    <xf numFmtId="4" fontId="35" fillId="9" borderId="21" applyNumberFormat="0" applyProtection="0">
      <alignment vertical="center"/>
    </xf>
    <xf numFmtId="0" fontId="4" fillId="0" borderId="0"/>
    <xf numFmtId="0" fontId="4" fillId="0" borderId="0"/>
    <xf numFmtId="4" fontId="13" fillId="9" borderId="2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21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21" applyNumberFormat="0" applyProtection="0">
      <alignment horizontal="right" vertical="center"/>
    </xf>
    <xf numFmtId="4" fontId="32" fillId="57" borderId="11" applyNumberFormat="0" applyProtection="0">
      <alignment horizontal="right" vertical="center"/>
    </xf>
    <xf numFmtId="4" fontId="13" fillId="61" borderId="21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21" applyNumberFormat="0" applyProtection="0">
      <alignment horizontal="right" vertical="center"/>
    </xf>
    <xf numFmtId="0" fontId="4" fillId="0" borderId="0"/>
    <xf numFmtId="4" fontId="35" fillId="61" borderId="21" applyNumberFormat="0" applyProtection="0">
      <alignment horizontal="right" vertical="center"/>
    </xf>
    <xf numFmtId="0" fontId="4" fillId="0" borderId="0"/>
    <xf numFmtId="4" fontId="13" fillId="5" borderId="21" applyNumberFormat="0" applyProtection="0">
      <alignment horizontal="left" vertical="center" indent="1"/>
    </xf>
    <xf numFmtId="4" fontId="32" fillId="57" borderId="11" applyNumberFormat="0" applyProtection="0">
      <alignment horizontal="left" vertical="center" indent="1"/>
    </xf>
    <xf numFmtId="4" fontId="13" fillId="5" borderId="21" applyNumberFormat="0" applyProtection="0">
      <alignment horizontal="left" vertical="center" indent="1"/>
    </xf>
    <xf numFmtId="0" fontId="4" fillId="0" borderId="0"/>
    <xf numFmtId="0" fontId="13" fillId="5" borderId="21" applyNumberFormat="0" applyProtection="0">
      <alignment horizontal="left" vertical="top" indent="1"/>
    </xf>
    <xf numFmtId="0" fontId="34" fillId="58" borderId="21" applyNumberFormat="0" applyProtection="0">
      <alignment horizontal="left" vertical="top"/>
    </xf>
    <xf numFmtId="0" fontId="34" fillId="58" borderId="21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11"/>
    <xf numFmtId="0" fontId="4" fillId="0" borderId="0"/>
    <xf numFmtId="4" fontId="37" fillId="0" borderId="11" applyNumberFormat="0" applyProtection="0">
      <alignment horizontal="right" vertical="center"/>
    </xf>
    <xf numFmtId="0" fontId="4" fillId="0" borderId="0"/>
    <xf numFmtId="4" fontId="49" fillId="61" borderId="21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25" applyNumberFormat="0" applyFill="0" applyAlignment="0" applyProtection="0"/>
    <xf numFmtId="167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1" fontId="57" fillId="66" borderId="0"/>
    <xf numFmtId="1" fontId="55" fillId="67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06">
    <xf numFmtId="0" fontId="0" fillId="0" borderId="0" xfId="0"/>
    <xf numFmtId="0" fontId="2" fillId="0" borderId="0" xfId="0" applyFont="1"/>
    <xf numFmtId="165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3" fontId="3" fillId="2" borderId="1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70" fontId="0" fillId="0" borderId="0" xfId="0" applyNumberFormat="1"/>
    <xf numFmtId="1" fontId="61" fillId="0" borderId="0" xfId="0" applyNumberFormat="1" applyFont="1"/>
    <xf numFmtId="0" fontId="60" fillId="0" borderId="0" xfId="0" applyFont="1"/>
    <xf numFmtId="3" fontId="2" fillId="0" borderId="0" xfId="0" applyNumberFormat="1" applyFont="1"/>
    <xf numFmtId="9" fontId="0" fillId="0" borderId="0" xfId="2" applyFont="1" applyFill="1"/>
    <xf numFmtId="0" fontId="59" fillId="0" borderId="0" xfId="465" applyFill="1"/>
    <xf numFmtId="170" fontId="0" fillId="0" borderId="0" xfId="2" applyNumberFormat="1" applyFont="1" applyFill="1"/>
    <xf numFmtId="164" fontId="0" fillId="0" borderId="0" xfId="0" applyNumberFormat="1" applyAlignment="1">
      <alignment horizontal="right"/>
    </xf>
    <xf numFmtId="0" fontId="62" fillId="0" borderId="0" xfId="0" applyFont="1"/>
    <xf numFmtId="1" fontId="2" fillId="0" borderId="0" xfId="0" applyNumberFormat="1" applyFont="1"/>
    <xf numFmtId="0" fontId="64" fillId="0" borderId="0" xfId="0" applyFont="1"/>
    <xf numFmtId="171" fontId="0" fillId="0" borderId="0" xfId="0" applyNumberFormat="1"/>
    <xf numFmtId="171" fontId="61" fillId="0" borderId="0" xfId="0" applyNumberFormat="1" applyFont="1"/>
    <xf numFmtId="2" fontId="65" fillId="0" borderId="0" xfId="0" applyNumberFormat="1" applyFont="1"/>
    <xf numFmtId="1" fontId="65" fillId="0" borderId="0" xfId="0" applyNumberFormat="1" applyFont="1"/>
    <xf numFmtId="0" fontId="63" fillId="2" borderId="1" xfId="0" applyFont="1" applyFill="1" applyBorder="1" applyAlignment="1">
      <alignment horizontal="center" vertical="center" wrapText="1"/>
    </xf>
    <xf numFmtId="0" fontId="63" fillId="2" borderId="5" xfId="0" applyFont="1" applyFill="1" applyBorder="1" applyAlignment="1">
      <alignment horizontal="center"/>
    </xf>
    <xf numFmtId="0" fontId="63" fillId="2" borderId="1" xfId="0" applyFont="1" applyFill="1" applyBorder="1" applyAlignment="1">
      <alignment horizontal="center"/>
    </xf>
    <xf numFmtId="0" fontId="63" fillId="2" borderId="1" xfId="0" quotePrefix="1" applyFont="1" applyFill="1" applyBorder="1" applyAlignment="1">
      <alignment horizontal="center"/>
    </xf>
    <xf numFmtId="0" fontId="63" fillId="2" borderId="7" xfId="0" applyFont="1" applyFill="1" applyBorder="1"/>
    <xf numFmtId="2" fontId="63" fillId="2" borderId="6" xfId="0" applyNumberFormat="1" applyFont="1" applyFill="1" applyBorder="1"/>
    <xf numFmtId="166" fontId="63" fillId="0" borderId="1" xfId="0" applyNumberFormat="1" applyFont="1" applyBorder="1"/>
    <xf numFmtId="3" fontId="63" fillId="0" borderId="1" xfId="0" applyNumberFormat="1" applyFont="1" applyBorder="1" applyAlignment="1">
      <alignment horizontal="right" vertical="center"/>
    </xf>
    <xf numFmtId="165" fontId="63" fillId="3" borderId="1" xfId="0" applyNumberFormat="1" applyFont="1" applyFill="1" applyBorder="1" applyAlignment="1">
      <alignment horizontal="right" vertical="center"/>
    </xf>
    <xf numFmtId="166" fontId="67" fillId="2" borderId="1" xfId="0" applyNumberFormat="1" applyFont="1" applyFill="1" applyBorder="1"/>
    <xf numFmtId="3" fontId="67" fillId="2" borderId="1" xfId="0" applyNumberFormat="1" applyFont="1" applyFill="1" applyBorder="1" applyAlignment="1">
      <alignment horizontal="right" vertical="center"/>
    </xf>
    <xf numFmtId="0" fontId="63" fillId="0" borderId="0" xfId="0" applyFont="1"/>
    <xf numFmtId="166" fontId="63" fillId="3" borderId="0" xfId="0" applyNumberFormat="1" applyFont="1" applyFill="1"/>
    <xf numFmtId="3" fontId="63" fillId="3" borderId="0" xfId="0" applyNumberFormat="1" applyFont="1" applyFill="1" applyAlignment="1">
      <alignment horizontal="right" vertical="center"/>
    </xf>
    <xf numFmtId="3" fontId="63" fillId="3" borderId="0" xfId="0" applyNumberFormat="1" applyFont="1" applyFill="1" applyAlignment="1">
      <alignment horizontal="left" vertical="center"/>
    </xf>
    <xf numFmtId="165" fontId="68" fillId="3" borderId="0" xfId="0" applyNumberFormat="1" applyFont="1" applyFill="1" applyAlignment="1">
      <alignment horizontal="right" vertical="center"/>
    </xf>
    <xf numFmtId="164" fontId="63" fillId="3" borderId="0" xfId="0" applyNumberFormat="1" applyFont="1" applyFill="1"/>
    <xf numFmtId="0" fontId="63" fillId="3" borderId="0" xfId="0" applyFont="1" applyFill="1"/>
    <xf numFmtId="1" fontId="62" fillId="0" borderId="0" xfId="0" applyNumberFormat="1" applyFont="1"/>
    <xf numFmtId="2" fontId="62" fillId="0" borderId="0" xfId="0" applyNumberFormat="1" applyFont="1"/>
    <xf numFmtId="9" fontId="62" fillId="0" borderId="0" xfId="2" applyFont="1" applyFill="1"/>
    <xf numFmtId="170" fontId="62" fillId="0" borderId="0" xfId="0" applyNumberFormat="1" applyFont="1"/>
    <xf numFmtId="0" fontId="62" fillId="0" borderId="10" xfId="0" applyFont="1" applyBorder="1"/>
    <xf numFmtId="1" fontId="62" fillId="0" borderId="29" xfId="0" applyNumberFormat="1" applyFont="1" applyBorder="1"/>
    <xf numFmtId="9" fontId="62" fillId="0" borderId="29" xfId="2" applyFont="1" applyFill="1" applyBorder="1"/>
    <xf numFmtId="170" fontId="62" fillId="0" borderId="0" xfId="2" applyNumberFormat="1" applyFont="1" applyFill="1"/>
    <xf numFmtId="2" fontId="62" fillId="0" borderId="29" xfId="0" applyNumberFormat="1" applyFont="1" applyBorder="1"/>
    <xf numFmtId="2" fontId="62" fillId="0" borderId="29" xfId="2" applyNumberFormat="1" applyFont="1" applyFill="1" applyBorder="1"/>
    <xf numFmtId="170" fontId="62" fillId="0" borderId="29" xfId="2" applyNumberFormat="1" applyFont="1" applyFill="1" applyBorder="1"/>
    <xf numFmtId="0" fontId="63" fillId="65" borderId="28" xfId="0" applyFont="1" applyFill="1" applyBorder="1"/>
    <xf numFmtId="0" fontId="69" fillId="65" borderId="2" xfId="0" applyFont="1" applyFill="1" applyBorder="1"/>
    <xf numFmtId="0" fontId="69" fillId="65" borderId="1" xfId="0" applyFont="1" applyFill="1" applyBorder="1"/>
    <xf numFmtId="0" fontId="69" fillId="65" borderId="3" xfId="0" applyFont="1" applyFill="1" applyBorder="1"/>
    <xf numFmtId="0" fontId="69" fillId="65" borderId="31" xfId="0" applyFont="1" applyFill="1" applyBorder="1"/>
    <xf numFmtId="0" fontId="62" fillId="0" borderId="8" xfId="0" applyFont="1" applyBorder="1"/>
    <xf numFmtId="9" fontId="62" fillId="0" borderId="0" xfId="2" applyFont="1" applyBorder="1"/>
    <xf numFmtId="9" fontId="62" fillId="0" borderId="29" xfId="2" applyFont="1" applyBorder="1"/>
    <xf numFmtId="0" fontId="63" fillId="65" borderId="1" xfId="0" applyFont="1" applyFill="1" applyBorder="1" applyAlignment="1">
      <alignment wrapText="1"/>
    </xf>
    <xf numFmtId="0" fontId="63" fillId="65" borderId="1" xfId="0" applyFont="1" applyFill="1" applyBorder="1" applyAlignment="1">
      <alignment horizontal="center" wrapText="1"/>
    </xf>
    <xf numFmtId="0" fontId="63" fillId="65" borderId="1" xfId="0" applyFont="1" applyFill="1" applyBorder="1"/>
    <xf numFmtId="9" fontId="62" fillId="0" borderId="0" xfId="2" applyFont="1"/>
    <xf numFmtId="9" fontId="62" fillId="0" borderId="0" xfId="0" applyNumberFormat="1" applyFont="1"/>
    <xf numFmtId="0" fontId="62" fillId="65" borderId="0" xfId="0" applyFont="1" applyFill="1"/>
    <xf numFmtId="1" fontId="62" fillId="65" borderId="0" xfId="0" applyNumberFormat="1" applyFont="1" applyFill="1"/>
    <xf numFmtId="9" fontId="62" fillId="65" borderId="0" xfId="2" applyFont="1" applyFill="1"/>
    <xf numFmtId="164" fontId="0" fillId="0" borderId="1" xfId="0" applyNumberFormat="1" applyBorder="1"/>
    <xf numFmtId="0" fontId="6" fillId="0" borderId="0" xfId="0" applyFont="1"/>
    <xf numFmtId="0" fontId="63" fillId="65" borderId="35" xfId="0" applyFont="1" applyFill="1" applyBorder="1" applyAlignment="1">
      <alignment horizontal="center"/>
    </xf>
    <xf numFmtId="0" fontId="69" fillId="65" borderId="35" xfId="0" applyFont="1" applyFill="1" applyBorder="1"/>
    <xf numFmtId="0" fontId="69" fillId="65" borderId="0" xfId="0" applyFont="1" applyFill="1"/>
    <xf numFmtId="1" fontId="62" fillId="0" borderId="0" xfId="0" applyNumberFormat="1" applyFont="1" applyAlignment="1">
      <alignment wrapText="1"/>
    </xf>
    <xf numFmtId="1" fontId="0" fillId="0" borderId="29" xfId="0" applyNumberFormat="1" applyBorder="1" applyAlignment="1">
      <alignment horizontal="right" vertical="center" indent="1"/>
    </xf>
    <xf numFmtId="1" fontId="0" fillId="68" borderId="29" xfId="0" applyNumberFormat="1" applyFill="1" applyBorder="1" applyAlignment="1">
      <alignment horizontal="right" vertical="center" indent="1"/>
    </xf>
    <xf numFmtId="165" fontId="2" fillId="0" borderId="0" xfId="0" applyNumberFormat="1" applyFont="1"/>
    <xf numFmtId="171" fontId="62" fillId="0" borderId="0" xfId="0" applyNumberFormat="1" applyFont="1"/>
    <xf numFmtId="170" fontId="62" fillId="0" borderId="9" xfId="2" applyNumberFormat="1" applyFont="1" applyBorder="1"/>
    <xf numFmtId="170" fontId="62" fillId="0" borderId="12" xfId="2" applyNumberFormat="1" applyFont="1" applyBorder="1"/>
    <xf numFmtId="170" fontId="62" fillId="0" borderId="0" xfId="2" applyNumberFormat="1" applyFont="1" applyBorder="1"/>
    <xf numFmtId="170" fontId="62" fillId="0" borderId="29" xfId="2" applyNumberFormat="1" applyFont="1" applyBorder="1"/>
    <xf numFmtId="171" fontId="62" fillId="0" borderId="29" xfId="0" applyNumberFormat="1" applyFont="1" applyBorder="1"/>
    <xf numFmtId="172" fontId="0" fillId="0" borderId="0" xfId="0" applyNumberFormat="1"/>
    <xf numFmtId="1" fontId="70" fillId="0" borderId="0" xfId="0" applyNumberFormat="1" applyFont="1"/>
    <xf numFmtId="170" fontId="62" fillId="0" borderId="0" xfId="2" applyNumberFormat="1" applyFont="1" applyFill="1" applyBorder="1"/>
    <xf numFmtId="165" fontId="63" fillId="0" borderId="1" xfId="0" applyNumberFormat="1" applyFont="1" applyBorder="1" applyAlignment="1">
      <alignment horizontal="right" vertical="center"/>
    </xf>
    <xf numFmtId="0" fontId="63" fillId="65" borderId="32" xfId="0" applyFont="1" applyFill="1" applyBorder="1" applyAlignment="1">
      <alignment horizontal="center"/>
    </xf>
    <xf numFmtId="0" fontId="63" fillId="65" borderId="33" xfId="0" applyFont="1" applyFill="1" applyBorder="1" applyAlignment="1">
      <alignment horizontal="center"/>
    </xf>
    <xf numFmtId="0" fontId="63" fillId="65" borderId="34" xfId="0" applyFont="1" applyFill="1" applyBorder="1" applyAlignment="1">
      <alignment horizontal="center"/>
    </xf>
    <xf numFmtId="0" fontId="63" fillId="65" borderId="1" xfId="0" applyFont="1" applyFill="1" applyBorder="1" applyAlignment="1">
      <alignment horizontal="center"/>
    </xf>
    <xf numFmtId="0" fontId="63" fillId="65" borderId="2" xfId="0" applyFont="1" applyFill="1" applyBorder="1" applyAlignment="1">
      <alignment horizontal="center"/>
    </xf>
    <xf numFmtId="0" fontId="63" fillId="65" borderId="26" xfId="0" applyFont="1" applyFill="1" applyBorder="1" applyAlignment="1">
      <alignment horizontal="center"/>
    </xf>
    <xf numFmtId="0" fontId="63" fillId="65" borderId="27" xfId="0" applyFont="1" applyFill="1" applyBorder="1" applyAlignment="1">
      <alignment horizontal="center"/>
    </xf>
    <xf numFmtId="0" fontId="63" fillId="65" borderId="30" xfId="0" applyFont="1" applyFill="1" applyBorder="1" applyAlignment="1">
      <alignment horizontal="center"/>
    </xf>
    <xf numFmtId="0" fontId="63" fillId="65" borderId="0" xfId="0" applyFont="1" applyFill="1" applyAlignment="1">
      <alignment horizontal="center"/>
    </xf>
    <xf numFmtId="0" fontId="63" fillId="2" borderId="2" xfId="0" applyFont="1" applyFill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center" vertical="center" wrapText="1"/>
    </xf>
    <xf numFmtId="0" fontId="63" fillId="2" borderId="3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3" fontId="2" fillId="0" borderId="0" xfId="0" applyNumberFormat="1" applyFont="1" applyFill="1"/>
  </cellXfs>
  <cellStyles count="469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yperlink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" xfId="0" builtinId="0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 2" xfId="4" xr:uid="{AD583647-40F6-46DB-BB31-2CBAAD5F1804}"/>
    <cellStyle name="Parasts 3" xfId="462" xr:uid="{3676A746-E324-4482-8D4C-954FBDA62DBE}"/>
    <cellStyle name="Percent" xfId="2" builtinId="5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0"/>
  <tableStyles count="0" defaultTableStyle="TableStyleMedium2" defaultPivotStyle="PivotStyleLight16"/>
  <colors>
    <mruColors>
      <color rgb="FFED9993"/>
      <color rgb="FFFDA6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daudzums salīdzinājumā pret plānu (milj. eiro) un gada plāna izpilde (%) tekošajā mēnesī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559828030933253"/>
          <c:w val="0.88254396325459317"/>
          <c:h val="0.68368325869312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mēneša_apskats!$C$4</c:f>
              <c:strCache>
                <c:ptCount val="1"/>
                <c:pt idx="0">
                  <c:v>iekasēts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mēneša_apskats!$C$5:$C$9</c:f>
              <c:numCache>
                <c:formatCode>0</c:formatCode>
                <c:ptCount val="5"/>
                <c:pt idx="0">
                  <c:v>1272.9111780000001</c:v>
                </c:pt>
                <c:pt idx="1">
                  <c:v>1351.846955</c:v>
                </c:pt>
                <c:pt idx="2">
                  <c:v>689.63680899999997</c:v>
                </c:pt>
                <c:pt idx="3">
                  <c:v>372.240452</c:v>
                </c:pt>
                <c:pt idx="4">
                  <c:v>159.99788799999999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mēneša_apskats!$E$4</c:f>
              <c:strCache>
                <c:ptCount val="1"/>
                <c:pt idx="0">
                  <c:v>gada plāns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mēneša_apskats!$E$5:$E$9</c:f>
              <c:numCache>
                <c:formatCode>0</c:formatCode>
                <c:ptCount val="5"/>
                <c:pt idx="0">
                  <c:v>3975.5206589999989</c:v>
                </c:pt>
                <c:pt idx="1">
                  <c:v>3786.2339999999999</c:v>
                </c:pt>
                <c:pt idx="2">
                  <c:v>2344</c:v>
                </c:pt>
                <c:pt idx="3">
                  <c:v>1187.7000000000003</c:v>
                </c:pt>
                <c:pt idx="4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56-40DE-8200-B3B3D152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mēneša_apskats!$F$4</c:f>
              <c:strCache>
                <c:ptCount val="1"/>
                <c:pt idx="0">
                  <c:v>izpilde 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mēneša_apskats!$F$5:$F$9</c:f>
              <c:numCache>
                <c:formatCode>0%</c:formatCode>
                <c:ptCount val="5"/>
                <c:pt idx="0">
                  <c:v>0.36308843277716141</c:v>
                </c:pt>
                <c:pt idx="1">
                  <c:v>0.35007187880866109</c:v>
                </c:pt>
                <c:pt idx="2">
                  <c:v>0.34647016063631525</c:v>
                </c:pt>
                <c:pt idx="3">
                  <c:v>0.30695166866643819</c:v>
                </c:pt>
                <c:pt idx="4">
                  <c:v>0.37538612515802783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56-40DE-8200-B3B3D15200D9}"/>
            </c:ext>
          </c:extLst>
        </c:ser>
        <c:ser>
          <c:idx val="3"/>
          <c:order val="3"/>
          <c:tx>
            <c:strRef>
              <c:f>mēneša_apskats!$G$4</c:f>
              <c:strCache>
                <c:ptCount val="1"/>
                <c:pt idx="0">
                  <c:v>izpilde 2023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mēneša_apskats!$G$5:$G$9</c:f>
              <c:numCache>
                <c:formatCode>0%</c:formatCode>
                <c:ptCount val="5"/>
                <c:pt idx="0">
                  <c:v>0.32018728795140705</c:v>
                </c:pt>
                <c:pt idx="1">
                  <c:v>0.35704263260009816</c:v>
                </c:pt>
                <c:pt idx="2">
                  <c:v>0.29421365571672353</c:v>
                </c:pt>
                <c:pt idx="3">
                  <c:v>0.31341285846594252</c:v>
                </c:pt>
                <c:pt idx="4">
                  <c:v>0.39800469651741288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56-40DE-8200-B3B3D152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918527"/>
        <c:axId val="1379915199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379918527"/>
        <c:crosses val="max"/>
        <c:crossBetween val="between"/>
      </c:valAx>
      <c:cat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4295743950734081E-2"/>
          <c:y val="0.89631522896698612"/>
          <c:w val="0.66643212151672526"/>
          <c:h val="8.7573813656679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Nodokļu 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īpatsvars 202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2. gada tekošajā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50779629378224278"/>
          <c:y val="3.2271343555133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mēneša_apskats!$D$60</c:f>
              <c:strCache>
                <c:ptCount val="1"/>
                <c:pt idx="0">
                  <c:v>īpatsvars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AA-4C85-8A3C-F2B121C4D04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AA-4C85-8A3C-F2B121C4D04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5AA-4C85-8A3C-F2B121C4D04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AA-4C85-8A3C-F2B121C4D04C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5AA-4C85-8A3C-F2B121C4D04C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5AA-4C85-8A3C-F2B121C4D04C}"/>
              </c:ext>
            </c:extLst>
          </c:dPt>
          <c:dLbls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C85-8A3C-F2B121C4D04C}"/>
                </c:ext>
              </c:extLst>
            </c:dLbl>
            <c:dLbl>
              <c:idx val="4"/>
              <c:layout>
                <c:manualLayout>
                  <c:x val="-0.12341095660914726"/>
                  <c:y val="7.60402610039929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AA-4C85-8A3C-F2B121C4D04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mēneša_apskats!$A$61:$A$66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  <c:pt idx="5">
                  <c:v>Pārējie nodokļi</c:v>
                </c:pt>
              </c:strCache>
            </c:strRef>
          </c:cat>
          <c:val>
            <c:numRef>
              <c:f>mēneša_apskats!$D$61:$D$66</c:f>
              <c:numCache>
                <c:formatCode>0%</c:formatCode>
                <c:ptCount val="6"/>
                <c:pt idx="0">
                  <c:v>0.30858216508637809</c:v>
                </c:pt>
                <c:pt idx="1">
                  <c:v>0.33148745307271832</c:v>
                </c:pt>
                <c:pt idx="2">
                  <c:v>0.17258394897580451</c:v>
                </c:pt>
                <c:pt idx="3">
                  <c:v>9.8933635711878729E-2</c:v>
                </c:pt>
                <c:pt idx="4">
                  <c:v>3.5958795130960071E-2</c:v>
                </c:pt>
                <c:pt idx="5">
                  <c:v>5.2454002022260325E-2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A-4C85-8A3C-F2B121C4D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</a:t>
            </a:r>
            <a:r>
              <a:rPr lang="en-US" sz="1050" b="0" i="0" u="none" strike="noStrike" kern="1200" spc="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īpatsvars 202</a:t>
            </a:r>
            <a:r>
              <a:rPr lang="lv-LV" sz="1050" b="0" i="0" u="none" strike="noStrike" kern="1200" spc="0" baseline="0">
                <a:solidFill>
                  <a:srgbClr val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3. gada tekošajā mēnesī</a:t>
            </a:r>
            <a:endParaRPr lang="en-US" sz="1050" b="0" i="0" u="none" strike="noStrike" kern="1200" spc="0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mēneša_apskats!$E$60</c:f>
              <c:strCache>
                <c:ptCount val="1"/>
                <c:pt idx="0">
                  <c:v>īpatsvars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1"/>
              <c:layout>
                <c:manualLayout>
                  <c:x val="8.9467819111672481E-2"/>
                  <c:y val="-2.57806425943583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3"/>
              <c:layout>
                <c:manualLayout>
                  <c:x val="-6.6272458601238912E-2"/>
                  <c:y val="1.2890321297179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-0.11617785204223303"/>
                  <c:y val="-4.2967737657263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mēneša_apskats!$A$61:$A$66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  <c:pt idx="5">
                  <c:v>Pārējie nodokļi</c:v>
                </c:pt>
              </c:strCache>
            </c:strRef>
          </c:cat>
          <c:val>
            <c:numRef>
              <c:f>mēneša_apskats!$E$61:$E$66</c:f>
              <c:numCache>
                <c:formatCode>0%</c:formatCode>
                <c:ptCount val="6"/>
                <c:pt idx="0">
                  <c:v>0.324200023758421</c:v>
                </c:pt>
                <c:pt idx="1">
                  <c:v>0.31817784899975482</c:v>
                </c:pt>
                <c:pt idx="2">
                  <c:v>0.16632483838080805</c:v>
                </c:pt>
                <c:pt idx="3">
                  <c:v>8.7551942030768923E-2</c:v>
                </c:pt>
                <c:pt idx="4">
                  <c:v>4.5001848873024677E-2</c:v>
                </c:pt>
                <c:pt idx="5">
                  <c:v>5.8743497957222571E-2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gada plāna izpilde (%) tekošajā mēnesī</a:t>
            </a:r>
          </a:p>
        </c:rich>
      </c:tx>
      <c:layout>
        <c:manualLayout>
          <c:xMode val="edge"/>
          <c:yMode val="edge"/>
          <c:x val="0.17966491688538935"/>
          <c:y val="5.27012248468941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mēneša_apskats!$F$4</c:f>
              <c:strCache>
                <c:ptCount val="1"/>
                <c:pt idx="0">
                  <c:v>izpilde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mēneša_apskats!$F$5:$F$9</c:f>
              <c:numCache>
                <c:formatCode>0%</c:formatCode>
                <c:ptCount val="5"/>
                <c:pt idx="0">
                  <c:v>0.36308843277716141</c:v>
                </c:pt>
                <c:pt idx="1">
                  <c:v>0.35007187880866109</c:v>
                </c:pt>
                <c:pt idx="2">
                  <c:v>0.34647016063631525</c:v>
                </c:pt>
                <c:pt idx="3">
                  <c:v>0.30695166866643819</c:v>
                </c:pt>
                <c:pt idx="4">
                  <c:v>0.37538612515802783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mēneša_apskats!$G$4</c:f>
              <c:strCache>
                <c:ptCount val="1"/>
                <c:pt idx="0">
                  <c:v>izpilde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mēneša_apskats!$G$5:$G$9</c:f>
              <c:numCache>
                <c:formatCode>0%</c:formatCode>
                <c:ptCount val="5"/>
                <c:pt idx="0">
                  <c:v>0.32018728795140705</c:v>
                </c:pt>
                <c:pt idx="1">
                  <c:v>0.35704263260009816</c:v>
                </c:pt>
                <c:pt idx="2">
                  <c:v>0.29421365571672353</c:v>
                </c:pt>
                <c:pt idx="3">
                  <c:v>0.31341285846594252</c:v>
                </c:pt>
                <c:pt idx="4">
                  <c:v>0.39800469651741288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097071277817569"/>
          <c:y val="0.91754542045880627"/>
          <c:w val="0.41738057742782159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Š.g. pēdējā mēneša nodokļu iekasēšanas izpilde salīdzinot pret iepriekšējo gadu un plānu (kreisā ass; milj.eiro), un plāna pārpilde (labā ass; %)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mēneša_apskats!$B$31</c:f>
              <c:strCache>
                <c:ptCount val="1"/>
                <c:pt idx="0">
                  <c:v>iekasēts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mēneša_apskats!$B$32:$B$36</c:f>
              <c:numCache>
                <c:formatCode>0.0</c:formatCode>
                <c:ptCount val="5"/>
                <c:pt idx="0">
                  <c:v>295.57084500000008</c:v>
                </c:pt>
                <c:pt idx="1">
                  <c:v>317.51033500000005</c:v>
                </c:pt>
                <c:pt idx="2">
                  <c:v>165.30697299999997</c:v>
                </c:pt>
                <c:pt idx="3">
                  <c:v>94.762113999999997</c:v>
                </c:pt>
                <c:pt idx="4">
                  <c:v>34.442598000000004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mēneša_apskats!$C$31</c:f>
              <c:strCache>
                <c:ptCount val="1"/>
                <c:pt idx="0">
                  <c:v>iekasēts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mēneša_apskats!$C$32:$C$36</c:f>
              <c:numCache>
                <c:formatCode>0</c:formatCode>
                <c:ptCount val="5"/>
                <c:pt idx="0">
                  <c:v>344.90570700000012</c:v>
                </c:pt>
                <c:pt idx="1">
                  <c:v>338.49891400000001</c:v>
                </c:pt>
                <c:pt idx="2">
                  <c:v>176.94750699999997</c:v>
                </c:pt>
                <c:pt idx="3">
                  <c:v>93.143621999999993</c:v>
                </c:pt>
                <c:pt idx="4">
                  <c:v>47.875981999999993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mēneša_apskats!$D$31</c:f>
              <c:strCache>
                <c:ptCount val="1"/>
                <c:pt idx="0">
                  <c:v>plāns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mēneša_apskats!$D$32:$D$36</c:f>
              <c:numCache>
                <c:formatCode>0.00</c:formatCode>
                <c:ptCount val="5"/>
                <c:pt idx="0">
                  <c:v>330.13203999999996</c:v>
                </c:pt>
                <c:pt idx="1">
                  <c:v>318.90299999999996</c:v>
                </c:pt>
                <c:pt idx="2">
                  <c:v>170</c:v>
                </c:pt>
                <c:pt idx="3">
                  <c:v>96.965000000000003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mēneša_apskats!$E$31</c:f>
              <c:strCache>
                <c:ptCount val="1"/>
                <c:pt idx="0">
                  <c:v>izpilde 2023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xVal>
          <c:yVal>
            <c:numRef>
              <c:f>mēneša_apskats!$E$32:$E$36</c:f>
              <c:numCache>
                <c:formatCode>0%</c:formatCode>
                <c:ptCount val="5"/>
                <c:pt idx="0">
                  <c:v>4.4750782141594447E-2</c:v>
                </c:pt>
                <c:pt idx="1">
                  <c:v>0.06</c:v>
                </c:pt>
                <c:pt idx="2">
                  <c:v>4.0867688235293853E-2</c:v>
                </c:pt>
                <c:pt idx="3">
                  <c:v>-3.940986954055592E-2</c:v>
                </c:pt>
                <c:pt idx="4">
                  <c:v>0.19689954999999992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1F-48B6-8CB5-BDBECF409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Pēdējā mēnesī iekasēto nodokļu salīdzinājums 2023. un 2022. gadā (kreisā ass; % no IKP), un starpība (labā ass; procentpunkti)</a:t>
            </a:r>
          </a:p>
        </c:rich>
      </c:tx>
      <c:layout>
        <c:manualLayout>
          <c:xMode val="edge"/>
          <c:yMode val="edge"/>
          <c:x val="6.3553655793025868E-2"/>
          <c:y val="1.8275815523059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037360329958756"/>
          <c:w val="0.80541680493473389"/>
          <c:h val="0.61319355080614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mēneša_apskats!$H$31</c:f>
              <c:strCache>
                <c:ptCount val="1"/>
                <c:pt idx="0">
                  <c:v>iekasēts 2022. gadā pret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mēneša_apskats!$H$32:$H$36</c:f>
              <c:numCache>
                <c:formatCode>0.0%</c:formatCode>
                <c:ptCount val="5"/>
                <c:pt idx="0">
                  <c:v>7.5630834508656755E-3</c:v>
                </c:pt>
                <c:pt idx="1">
                  <c:v>8.1244723582845815E-3</c:v>
                </c:pt>
                <c:pt idx="2">
                  <c:v>4.2298841477717416E-3</c:v>
                </c:pt>
                <c:pt idx="3">
                  <c:v>2.4247783172337118E-3</c:v>
                </c:pt>
                <c:pt idx="4">
                  <c:v>8.8131914004785947E-4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3-4B3C-89D8-89BC9AE1EFCC}"/>
            </c:ext>
          </c:extLst>
        </c:ser>
        <c:ser>
          <c:idx val="1"/>
          <c:order val="1"/>
          <c:tx>
            <c:strRef>
              <c:f>mēneša_apskats!$I$31</c:f>
              <c:strCache>
                <c:ptCount val="1"/>
                <c:pt idx="0">
                  <c:v>iekasēts 2023. gadā pret IKP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mēneša_apskats!$I$32:$I$36</c:f>
              <c:numCache>
                <c:formatCode>0.0%</c:formatCode>
                <c:ptCount val="5"/>
                <c:pt idx="0">
                  <c:v>7.9039403276335105E-3</c:v>
                </c:pt>
                <c:pt idx="1">
                  <c:v>7.7571207519182821E-3</c:v>
                </c:pt>
                <c:pt idx="2">
                  <c:v>4.0549707008806094E-3</c:v>
                </c:pt>
                <c:pt idx="3">
                  <c:v>2.1345011556670227E-3</c:v>
                </c:pt>
                <c:pt idx="4">
                  <c:v>1.0971372673020336E-3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3-4B3C-89D8-89BC9AE1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mēneša_apskats!$J$31</c:f>
              <c:strCache>
                <c:ptCount val="1"/>
                <c:pt idx="0">
                  <c:v>Starpība, procentpunkti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9525">
                <a:solidFill>
                  <a:srgbClr val="0E57C4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xVal>
          <c:yVal>
            <c:numRef>
              <c:f>mēneša_apskats!$J$32:$J$36</c:f>
              <c:numCache>
                <c:formatCode>0.0%</c:formatCode>
                <c:ptCount val="5"/>
                <c:pt idx="0">
                  <c:v>3.4085687676783504E-4</c:v>
                </c:pt>
                <c:pt idx="1">
                  <c:v>-3.6735160636629932E-4</c:v>
                </c:pt>
                <c:pt idx="2">
                  <c:v>-1.7491344689113224E-4</c:v>
                </c:pt>
                <c:pt idx="3">
                  <c:v>-2.9027716156668909E-4</c:v>
                </c:pt>
                <c:pt idx="4">
                  <c:v>2.158181272541741E-4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73-4B3C-89D8-89BC9AE1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76687"/>
        <c:axId val="126875855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26875855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6876687"/>
        <c:crosses val="max"/>
        <c:crossBetween val="midCat"/>
      </c:valAx>
      <c:valAx>
        <c:axId val="1268766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8758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9672490938632675E-2"/>
          <c:y val="0.86328458942632169"/>
          <c:w val="0.84996466670122284"/>
          <c:h val="0.13671541057367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Kumulatīvi iekasētie nodokļi (% no IKP) tekošajā mēnesī</a:t>
            </a:r>
          </a:p>
        </c:rich>
      </c:tx>
      <c:layout>
        <c:manualLayout>
          <c:xMode val="edge"/>
          <c:yMode val="edge"/>
          <c:x val="0.17966491688538935"/>
          <c:y val="5.27012248468941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mēneša_apskats!$J$4</c:f>
              <c:strCache>
                <c:ptCount val="1"/>
                <c:pt idx="0">
                  <c:v>pret IKP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mēneša_apskats!$J$5:$J$9</c:f>
              <c:numCache>
                <c:formatCode>0.0%</c:formatCode>
                <c:ptCount val="5"/>
                <c:pt idx="0">
                  <c:v>3.0158574405449359E-2</c:v>
                </c:pt>
                <c:pt idx="1">
                  <c:v>2.7562474378359281E-2</c:v>
                </c:pt>
                <c:pt idx="2">
                  <c:v>1.6507291329464061E-2</c:v>
                </c:pt>
                <c:pt idx="3">
                  <c:v>9.1643932830021389E-3</c:v>
                </c:pt>
                <c:pt idx="4">
                  <c:v>3.0391489842322046E-3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D-4FE8-B27B-220A1DDBAF1C}"/>
            </c:ext>
          </c:extLst>
        </c:ser>
        <c:ser>
          <c:idx val="1"/>
          <c:order val="1"/>
          <c:tx>
            <c:strRef>
              <c:f>mēneša_apskats!$K$4</c:f>
              <c:strCache>
                <c:ptCount val="1"/>
                <c:pt idx="0">
                  <c:v>pret IKP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mēneša_apskats!$K$5:$K$9</c:f>
              <c:numCache>
                <c:formatCode>0.0%</c:formatCode>
                <c:ptCount val="5"/>
                <c:pt idx="0">
                  <c:v>2.9170332033066865E-2</c:v>
                </c:pt>
                <c:pt idx="1">
                  <c:v>3.0979242870031894E-2</c:v>
                </c:pt>
                <c:pt idx="2">
                  <c:v>1.5803879366007668E-2</c:v>
                </c:pt>
                <c:pt idx="3">
                  <c:v>8.5303497751033873E-3</c:v>
                </c:pt>
                <c:pt idx="4">
                  <c:v>3.6665492441370047E-3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D-4FE8-B27B-220A1DDB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mēneša_apskats!$L$4</c:f>
              <c:strCache>
                <c:ptCount val="1"/>
                <c:pt idx="0">
                  <c:v>starpība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mēneša_apskats!$A$5:$A$9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mēneša_apskats!$L$5:$L$9</c:f>
              <c:numCache>
                <c:formatCode>0.0%</c:formatCode>
                <c:ptCount val="5"/>
                <c:pt idx="0">
                  <c:v>-9.8824237238249318E-4</c:v>
                </c:pt>
                <c:pt idx="1">
                  <c:v>3.4167684916726129E-3</c:v>
                </c:pt>
                <c:pt idx="2">
                  <c:v>-7.0341196345639206E-4</c:v>
                </c:pt>
                <c:pt idx="3">
                  <c:v>-6.3404350789875163E-4</c:v>
                </c:pt>
                <c:pt idx="4">
                  <c:v>6.2740025990480012E-4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D-4FE8-B27B-220A1DDB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96063"/>
        <c:axId val="102600223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0260022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02596063"/>
        <c:crosses val="max"/>
        <c:crossBetween val="between"/>
      </c:valAx>
      <c:catAx>
        <c:axId val="102596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6002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69563350035793"/>
          <c:y val="0.90978994695149495"/>
          <c:w val="0.62996707229778093"/>
          <c:h val="6.2951526829539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2023. un 2022. gada tekošajā mēnesī iekasētie nodokļi 2022. gada cenās</a:t>
            </a:r>
          </a:p>
        </c:rich>
      </c:tx>
      <c:layout>
        <c:manualLayout>
          <c:xMode val="edge"/>
          <c:yMode val="edge"/>
          <c:x val="0.12225361026836679"/>
          <c:y val="2.9704386951631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037360329958756"/>
          <c:w val="0.88254396325459317"/>
          <c:h val="0.61319355080614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mēneša_apskats!$B$31</c:f>
              <c:strCache>
                <c:ptCount val="1"/>
                <c:pt idx="0">
                  <c:v>iekasēts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mēneša_apskats!$B$32:$B$36</c:f>
              <c:numCache>
                <c:formatCode>0.0</c:formatCode>
                <c:ptCount val="5"/>
                <c:pt idx="0">
                  <c:v>295.57084500000008</c:v>
                </c:pt>
                <c:pt idx="1">
                  <c:v>317.51033500000005</c:v>
                </c:pt>
                <c:pt idx="2">
                  <c:v>165.30697299999997</c:v>
                </c:pt>
                <c:pt idx="3">
                  <c:v>94.762113999999997</c:v>
                </c:pt>
                <c:pt idx="4">
                  <c:v>34.442598000000004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0A8-8402-A1C4EE4588DF}"/>
            </c:ext>
          </c:extLst>
        </c:ser>
        <c:ser>
          <c:idx val="1"/>
          <c:order val="1"/>
          <c:tx>
            <c:strRef>
              <c:f>mēneša_apskats!$F$31</c:f>
              <c:strCache>
                <c:ptCount val="1"/>
                <c:pt idx="0">
                  <c:v>reāli iekasēts 2023. g. attiecīgajā mēnesī (2022. g. cenās)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mēneša_apskats!$A$32:$A$36</c:f>
              <c:strCache>
                <c:ptCount val="5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AN</c:v>
                </c:pt>
                <c:pt idx="4">
                  <c:v>UIN</c:v>
                </c:pt>
              </c:strCache>
            </c:strRef>
          </c:cat>
          <c:val>
            <c:numRef>
              <c:f>mēneša_apskats!$F$32:$F$36</c:f>
              <c:numCache>
                <c:formatCode>0.00</c:formatCode>
                <c:ptCount val="5"/>
                <c:pt idx="0">
                  <c:v>299.68454090921364</c:v>
                </c:pt>
                <c:pt idx="1">
                  <c:v>294.11775329179278</c:v>
                </c:pt>
                <c:pt idx="2">
                  <c:v>153.74762239096509</c:v>
                </c:pt>
                <c:pt idx="3">
                  <c:v>80.931405399132231</c:v>
                </c:pt>
                <c:pt idx="4">
                  <c:v>41.598881651000831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53-40A8-8402-A1C4EE458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72490938632675E-2"/>
          <c:y val="0.86328458942632169"/>
          <c:w val="0.81514934775917469"/>
          <c:h val="0.11335403074615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Uzņēmumu ienākuma nodoklis, 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853407403034956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Ikmēneša!$A$41:$A$52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Ikmēneša!$C$41:$C$52</c:f>
              <c:numCache>
                <c:formatCode>#,##0</c:formatCode>
                <c:ptCount val="12"/>
                <c:pt idx="0">
                  <c:v>36.645933999999997</c:v>
                </c:pt>
                <c:pt idx="1">
                  <c:v>28.807556000000005</c:v>
                </c:pt>
                <c:pt idx="2">
                  <c:v>18.876081999999997</c:v>
                </c:pt>
                <c:pt idx="3">
                  <c:v>34.442598000000004</c:v>
                </c:pt>
                <c:pt idx="4">
                  <c:v>49.467463999999993</c:v>
                </c:pt>
                <c:pt idx="5">
                  <c:v>44.263114999999999</c:v>
                </c:pt>
                <c:pt idx="6">
                  <c:v>27.860117000000002</c:v>
                </c:pt>
                <c:pt idx="7">
                  <c:v>31.240998999999988</c:v>
                </c:pt>
                <c:pt idx="8">
                  <c:v>25.169040999999993</c:v>
                </c:pt>
                <c:pt idx="9">
                  <c:v>29.345911000000001</c:v>
                </c:pt>
                <c:pt idx="10">
                  <c:v>24.259136000000012</c:v>
                </c:pt>
                <c:pt idx="11">
                  <c:v>28.37249300000002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Ikmēneša!$A$41:$A$52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Ikmēneša!$D$41:$D$52</c:f>
              <c:numCache>
                <c:formatCode>#,##0</c:formatCode>
                <c:ptCount val="12"/>
                <c:pt idx="0">
                  <c:v>61.791103</c:v>
                </c:pt>
                <c:pt idx="1">
                  <c:v>19.323077000000005</c:v>
                </c:pt>
                <c:pt idx="2">
                  <c:v>31.007725999999991</c:v>
                </c:pt>
                <c:pt idx="3">
                  <c:v>47.875981999999993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Ikmēneša!$E$40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Ikmēneša!$A$41:$A$52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Ikmēneša!$E$41:$E$52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73.261731971759517</c:v>
                      </c:pt>
                      <c:pt idx="1">
                        <c:v>251.71488678666844</c:v>
                      </c:pt>
                      <c:pt idx="2">
                        <c:v>21.364104490979585</c:v>
                      </c:pt>
                      <c:pt idx="3">
                        <c:v>-27.560329922244485</c:v>
                      </c:pt>
                      <c:pt idx="4">
                        <c:v>34.364570220210041</c:v>
                      </c:pt>
                      <c:pt idx="5">
                        <c:v>7.2800275563750905</c:v>
                      </c:pt>
                      <c:pt idx="6">
                        <c:v>4.4335804655296407</c:v>
                      </c:pt>
                      <c:pt idx="7">
                        <c:v>19.787747040907753</c:v>
                      </c:pt>
                      <c:pt idx="8">
                        <c:v>73.425328283848131</c:v>
                      </c:pt>
                      <c:pt idx="9">
                        <c:v>25.492524157683484</c:v>
                      </c:pt>
                      <c:pt idx="10">
                        <c:v>-15.623979934625998</c:v>
                      </c:pt>
                      <c:pt idx="11">
                        <c:v>-420.8349093797359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3"/>
          <c:tx>
            <c:strRef>
              <c:f>Ikmēneša!$F$40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Ikmēneša!$A$41:$A$52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Ikmēneša!$F$41:$F$52</c:f>
              <c:numCache>
                <c:formatCode>#,##0</c:formatCode>
                <c:ptCount val="12"/>
                <c:pt idx="0">
                  <c:v>68.61653191865706</c:v>
                </c:pt>
                <c:pt idx="1">
                  <c:v>-32.923580882737845</c:v>
                </c:pt>
                <c:pt idx="2">
                  <c:v>64.269926354420349</c:v>
                </c:pt>
                <c:pt idx="3">
                  <c:v>39.002237868351244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C1-4173-9C16-1C94E2106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544431"/>
        <c:axId val="1568548175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568548175"/>
        <c:scaling>
          <c:orientation val="minMax"/>
          <c:max val="255"/>
          <c:min val="-3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8544431"/>
        <c:crosses val="max"/>
        <c:crossBetween val="between"/>
      </c:valAx>
      <c:catAx>
        <c:axId val="15685444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85481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2377516703659"/>
          <c:y val="0.91717189071978733"/>
          <c:w val="0.53053429990337719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Pievienotās vērtības nodoklis,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77833423167123"/>
          <c:y val="1.05823425458271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Ikmēneša!$C$73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Ikmēneša!$A$74:$A$85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Ikmēneša!$C$74:$C$85</c:f>
              <c:numCache>
                <c:formatCode>#,##0</c:formatCode>
                <c:ptCount val="12"/>
                <c:pt idx="0">
                  <c:v>305.15682800000002</c:v>
                </c:pt>
                <c:pt idx="1">
                  <c:v>241.22451799999999</c:v>
                </c:pt>
                <c:pt idx="2">
                  <c:v>213.27002100000004</c:v>
                </c:pt>
                <c:pt idx="3">
                  <c:v>317.51033500000005</c:v>
                </c:pt>
                <c:pt idx="4">
                  <c:v>241.8759849999999</c:v>
                </c:pt>
                <c:pt idx="5">
                  <c:v>307.37908599999992</c:v>
                </c:pt>
                <c:pt idx="6">
                  <c:v>318.39030700000012</c:v>
                </c:pt>
                <c:pt idx="7">
                  <c:v>302.72456099999999</c:v>
                </c:pt>
                <c:pt idx="8">
                  <c:v>275.43128799999977</c:v>
                </c:pt>
                <c:pt idx="9">
                  <c:v>329.14276400000017</c:v>
                </c:pt>
                <c:pt idx="10">
                  <c:v>364.47679599999992</c:v>
                </c:pt>
                <c:pt idx="11">
                  <c:v>342.08847199999991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Ikmēneša!$D$73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Ikmēneša!$A$74:$A$85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Ikmēneša!$D$74:$D$85</c:f>
              <c:numCache>
                <c:formatCode>#,##0</c:formatCode>
                <c:ptCount val="12"/>
                <c:pt idx="0">
                  <c:v>386.10967099999999</c:v>
                </c:pt>
                <c:pt idx="1">
                  <c:v>301.80614199999997</c:v>
                </c:pt>
                <c:pt idx="2">
                  <c:v>325.43222800000001</c:v>
                </c:pt>
                <c:pt idx="3">
                  <c:v>338.49891400000001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Ikmēneša!$F$73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Ikmēneša!$A$74:$A$85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Ikmēneša!$F$74:$F$85</c:f>
              <c:numCache>
                <c:formatCode>#,##0</c:formatCode>
                <c:ptCount val="12"/>
                <c:pt idx="0">
                  <c:v>26.528275159551718</c:v>
                </c:pt>
                <c:pt idx="1">
                  <c:v>25.114206674464157</c:v>
                </c:pt>
                <c:pt idx="2">
                  <c:v>52.591642498126802</c:v>
                </c:pt>
                <c:pt idx="3">
                  <c:v>6.6103608879376941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C4-419A-8078-3A0A4F74C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0591"/>
        <c:axId val="1445658079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Ikmēneša!$E$73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Ikmēneša!$A$74:$A$85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Ikmēneša!$E$74:$E$85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39.752758972131311</c:v>
                      </c:pt>
                      <c:pt idx="1">
                        <c:v>15.394639596981063</c:v>
                      </c:pt>
                      <c:pt idx="2">
                        <c:v>26.916012202050755</c:v>
                      </c:pt>
                      <c:pt idx="3">
                        <c:v>31.954391929049343</c:v>
                      </c:pt>
                      <c:pt idx="4">
                        <c:v>3.3919928916012809</c:v>
                      </c:pt>
                      <c:pt idx="5">
                        <c:v>22.40425822496297</c:v>
                      </c:pt>
                      <c:pt idx="6">
                        <c:v>16.862892005868389</c:v>
                      </c:pt>
                      <c:pt idx="7">
                        <c:v>13.531483590850502</c:v>
                      </c:pt>
                      <c:pt idx="8">
                        <c:v>7.7952855032824564</c:v>
                      </c:pt>
                      <c:pt idx="9">
                        <c:v>16.806788565880449</c:v>
                      </c:pt>
                      <c:pt idx="10">
                        <c:v>49.317223908344147</c:v>
                      </c:pt>
                      <c:pt idx="11">
                        <c:v>182.97371271739155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807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0591"/>
        <c:crosses val="max"/>
        <c:crossBetween val="between"/>
      </c:valAx>
      <c:catAx>
        <c:axId val="14456505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80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7185450360565007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Akcīzes nodoklis,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33865923075331966"/>
          <c:y val="5.270174561513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6529767841314742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Ikmēneša!$C$106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Ikmēneša!$A$107:$A$118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Ikmēneša!$C$107:$C$118</c:f>
              <c:numCache>
                <c:formatCode>#,##0</c:formatCode>
                <c:ptCount val="12"/>
                <c:pt idx="0">
                  <c:v>94.489587</c:v>
                </c:pt>
                <c:pt idx="1">
                  <c:v>85.432088999999991</c:v>
                </c:pt>
                <c:pt idx="2">
                  <c:v>83.467417000000012</c:v>
                </c:pt>
                <c:pt idx="3">
                  <c:v>94.762113999999997</c:v>
                </c:pt>
                <c:pt idx="4">
                  <c:v>89.708789000000024</c:v>
                </c:pt>
                <c:pt idx="5">
                  <c:v>99.295792000000006</c:v>
                </c:pt>
                <c:pt idx="6">
                  <c:v>97.606663000000026</c:v>
                </c:pt>
                <c:pt idx="7">
                  <c:v>99.319585999999958</c:v>
                </c:pt>
                <c:pt idx="8">
                  <c:v>108.36951199999999</c:v>
                </c:pt>
                <c:pt idx="9">
                  <c:v>96.951422999999977</c:v>
                </c:pt>
                <c:pt idx="10">
                  <c:v>96.244254999999953</c:v>
                </c:pt>
                <c:pt idx="11">
                  <c:v>85.386054000000058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Ikmēneša!$D$106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Ikmēneša!$A$107:$A$118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Ikmēneša!$D$107:$D$118</c:f>
              <c:numCache>
                <c:formatCode>#,##0</c:formatCode>
                <c:ptCount val="12"/>
                <c:pt idx="0">
                  <c:v>101.657421</c:v>
                </c:pt>
                <c:pt idx="1">
                  <c:v>85.200087999999994</c:v>
                </c:pt>
                <c:pt idx="2">
                  <c:v>92.239321000000018</c:v>
                </c:pt>
                <c:pt idx="3">
                  <c:v>93.143621999999993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Ikmēneša!$F$106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Ikmēneša!$A$107:$A$118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Ikmēneša!$F$107:$F$118</c:f>
              <c:numCache>
                <c:formatCode>#,##0</c:formatCode>
                <c:ptCount val="12"/>
                <c:pt idx="0">
                  <c:v>7.5858454117277541</c:v>
                </c:pt>
                <c:pt idx="1">
                  <c:v>-0.27156189520309848</c:v>
                </c:pt>
                <c:pt idx="2">
                  <c:v>10.509375173308655</c:v>
                </c:pt>
                <c:pt idx="3">
                  <c:v>-1.707952610681529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AE-49C2-BFF9-9D6CA97AD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23999"/>
        <c:axId val="1118830655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Ikmēneša!$E$106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Ikmēneša!$A$107:$A$118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Ikmēneša!$E$107:$E$118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7.1968044707332313</c:v>
                      </c:pt>
                      <c:pt idx="1">
                        <c:v>13.429462374622702</c:v>
                      </c:pt>
                      <c:pt idx="2">
                        <c:v>10.348873862627439</c:v>
                      </c:pt>
                      <c:pt idx="3">
                        <c:v>-2.4381657499463305</c:v>
                      </c:pt>
                      <c:pt idx="4">
                        <c:v>9.2143893890926698</c:v>
                      </c:pt>
                      <c:pt idx="5">
                        <c:v>5.1952967764009372</c:v>
                      </c:pt>
                      <c:pt idx="6">
                        <c:v>-7.3433586924337106</c:v>
                      </c:pt>
                      <c:pt idx="7">
                        <c:v>-6.4041246814963255</c:v>
                      </c:pt>
                      <c:pt idx="8">
                        <c:v>10.452628695728272</c:v>
                      </c:pt>
                      <c:pt idx="9">
                        <c:v>0.13335149856832373</c:v>
                      </c:pt>
                      <c:pt idx="10">
                        <c:v>9.9195256528883178</c:v>
                      </c:pt>
                      <c:pt idx="11">
                        <c:v>-12.980183757982623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118830655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118823999"/>
        <c:crosses val="max"/>
        <c:crossBetween val="between"/>
      </c:valAx>
      <c:catAx>
        <c:axId val="11188239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8306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6503797575579681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Iedzīvotāju ienākuma nodoklis,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%,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853407403034956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Ikmēneša!$C$139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Ikmēneša!$A$140:$A$151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Ikmēneša!$C$140:$C$151</c:f>
              <c:numCache>
                <c:formatCode>#,##0</c:formatCode>
                <c:ptCount val="12"/>
                <c:pt idx="0">
                  <c:v>230.248965</c:v>
                </c:pt>
                <c:pt idx="1">
                  <c:v>184.558896</c:v>
                </c:pt>
                <c:pt idx="2">
                  <c:v>65.002210999999988</c:v>
                </c:pt>
                <c:pt idx="3">
                  <c:v>165.30697299999997</c:v>
                </c:pt>
                <c:pt idx="4">
                  <c:v>175.24344700000006</c:v>
                </c:pt>
                <c:pt idx="5">
                  <c:v>193.47165899999993</c:v>
                </c:pt>
                <c:pt idx="6">
                  <c:v>220.96358700000008</c:v>
                </c:pt>
                <c:pt idx="7">
                  <c:v>202.01731199999995</c:v>
                </c:pt>
                <c:pt idx="8">
                  <c:v>208.38990699999999</c:v>
                </c:pt>
                <c:pt idx="9">
                  <c:v>217.09081200000014</c:v>
                </c:pt>
                <c:pt idx="10">
                  <c:v>200.2854649999997</c:v>
                </c:pt>
                <c:pt idx="11">
                  <c:v>199.89776400000028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Ikmēneša!$D$139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Ikmēneša!$A$140:$A$151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Ikmēneša!$D$140:$D$151</c:f>
              <c:numCache>
                <c:formatCode>#,##0</c:formatCode>
                <c:ptCount val="12"/>
                <c:pt idx="0">
                  <c:v>239.533996</c:v>
                </c:pt>
                <c:pt idx="1">
                  <c:v>203.94499200000001</c:v>
                </c:pt>
                <c:pt idx="2">
                  <c:v>69.210313999999983</c:v>
                </c:pt>
                <c:pt idx="3">
                  <c:v>176.94750699999997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Ikmēneša!$F$139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Ikmēneša!$A$140:$A$151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Ikmēneša!$F$140:$F$151</c:f>
              <c:numCache>
                <c:formatCode>#,##0</c:formatCode>
                <c:ptCount val="12"/>
                <c:pt idx="0">
                  <c:v>4.0326048805474635</c:v>
                </c:pt>
                <c:pt idx="1">
                  <c:v>10.504016018821449</c:v>
                </c:pt>
                <c:pt idx="2">
                  <c:v>6.4737844071180772</c:v>
                </c:pt>
                <c:pt idx="3">
                  <c:v>7.0417682864472919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44-4071-B84C-1F2859D94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249999"/>
        <c:axId val="1444240847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Ikmēneša!$E$139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Ikmēneša!$A$140:$A$151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Ikmēneša!$E$140:$E$151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52.793104346194667</c:v>
                      </c:pt>
                      <c:pt idx="1">
                        <c:v>20.184407588294562</c:v>
                      </c:pt>
                      <c:pt idx="2">
                        <c:v>42.3590773010216</c:v>
                      </c:pt>
                      <c:pt idx="3">
                        <c:v>28.799401018446225</c:v>
                      </c:pt>
                      <c:pt idx="4">
                        <c:v>36.316614265586054</c:v>
                      </c:pt>
                      <c:pt idx="5">
                        <c:v>43.327075085000821</c:v>
                      </c:pt>
                      <c:pt idx="6">
                        <c:v>17.376156101973915</c:v>
                      </c:pt>
                      <c:pt idx="7">
                        <c:v>18.481849725573852</c:v>
                      </c:pt>
                      <c:pt idx="8">
                        <c:v>23.569686906685462</c:v>
                      </c:pt>
                      <c:pt idx="9">
                        <c:v>-19.469278675980572</c:v>
                      </c:pt>
                      <c:pt idx="10">
                        <c:v>19.477744148983376</c:v>
                      </c:pt>
                      <c:pt idx="11">
                        <c:v>-9.4930595228244989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424084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4249999"/>
        <c:crosses val="max"/>
        <c:crossBetween val="between"/>
      </c:valAx>
      <c:catAx>
        <c:axId val="14442499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2408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9774647537044481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ieņēmumi, 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26870246932470754"/>
          <c:y val="5.26999032209167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Ikmēneša!$C$172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Ikmēneša!$A$173:$A$184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Ikmēneša!$C$173:$C$184</c:f>
              <c:numCache>
                <c:formatCode>#,##0</c:formatCode>
                <c:ptCount val="12"/>
                <c:pt idx="0">
                  <c:v>57.283079000000001</c:v>
                </c:pt>
                <c:pt idx="1">
                  <c:v>46.204665000000006</c:v>
                </c:pt>
                <c:pt idx="2">
                  <c:v>65.464437999999987</c:v>
                </c:pt>
                <c:pt idx="3">
                  <c:v>67.048771000000016</c:v>
                </c:pt>
                <c:pt idx="4">
                  <c:v>88.41471599999997</c:v>
                </c:pt>
                <c:pt idx="5">
                  <c:v>128.24976300000003</c:v>
                </c:pt>
                <c:pt idx="6">
                  <c:v>133.11235799999997</c:v>
                </c:pt>
                <c:pt idx="7">
                  <c:v>59.638622000000055</c:v>
                </c:pt>
                <c:pt idx="8">
                  <c:v>41.622447999999963</c:v>
                </c:pt>
                <c:pt idx="9">
                  <c:v>49.702570000000037</c:v>
                </c:pt>
                <c:pt idx="10">
                  <c:v>59.671256999999969</c:v>
                </c:pt>
                <c:pt idx="11">
                  <c:v>51.171358999999939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Ikmēneša!$D$172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Ikmēneša!$A$173:$A$184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Ikmēneša!$D$173:$D$184</c:f>
              <c:numCache>
                <c:formatCode>#,##0</c:formatCode>
                <c:ptCount val="12"/>
                <c:pt idx="0">
                  <c:v>46.895817000000001</c:v>
                </c:pt>
                <c:pt idx="1">
                  <c:v>55.444927999999997</c:v>
                </c:pt>
                <c:pt idx="2">
                  <c:v>53.78161399999999</c:v>
                </c:pt>
                <c:pt idx="3">
                  <c:v>77.237088999999997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Ikmēneša!$F$172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Ikmēneša!$A$173:$A$184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Ikmēneša!$F$173:$F$184</c:f>
              <c:numCache>
                <c:formatCode>#,##0</c:formatCode>
                <c:ptCount val="12"/>
                <c:pt idx="0">
                  <c:v>-18.133211729069242</c:v>
                </c:pt>
                <c:pt idx="1">
                  <c:v>19.998549929969165</c:v>
                </c:pt>
                <c:pt idx="2">
                  <c:v>-17.846061704524217</c:v>
                </c:pt>
                <c:pt idx="3">
                  <c:v>15.195383670790896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11-4001-AFD9-F445AA8F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40047"/>
        <c:axId val="1456648367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Ikmēneša!$E$172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Ikmēneša!$A$173:$A$184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Ikmēneša!$E$173:$E$184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82.599482042076716</c:v>
                      </c:pt>
                      <c:pt idx="1">
                        <c:v>2.4015322509653547</c:v>
                      </c:pt>
                      <c:pt idx="2">
                        <c:v>85.636939802441319</c:v>
                      </c:pt>
                      <c:pt idx="3">
                        <c:v>41.65892722189399</c:v>
                      </c:pt>
                      <c:pt idx="4">
                        <c:v>-54.456098131184746</c:v>
                      </c:pt>
                      <c:pt idx="5">
                        <c:v>-7.0001787340218442</c:v>
                      </c:pt>
                      <c:pt idx="6">
                        <c:v>205.51390850898397</c:v>
                      </c:pt>
                      <c:pt idx="7">
                        <c:v>38.190325749280497</c:v>
                      </c:pt>
                      <c:pt idx="8">
                        <c:v>-27.068749693363348</c:v>
                      </c:pt>
                      <c:pt idx="9">
                        <c:v>2.5069532522135063</c:v>
                      </c:pt>
                      <c:pt idx="10">
                        <c:v>48.185676341983495</c:v>
                      </c:pt>
                      <c:pt idx="11">
                        <c:v>1.6604079066689259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5664836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56640047"/>
        <c:crosses val="max"/>
        <c:crossBetween val="between"/>
      </c:valAx>
      <c:catAx>
        <c:axId val="14566400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664836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56211688982764962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Ieņēmumi, kas iemaksāti vienotajā nodokļu kontā, 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853407403034956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Ikmēneša!$C$205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Ikmēneša!$A$206:$A$217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Ikmēneša!$C$206:$C$217</c:f>
              <c:numCache>
                <c:formatCode>#,##0</c:formatCode>
                <c:ptCount val="12"/>
                <c:pt idx="0">
                  <c:v>-100.505827</c:v>
                </c:pt>
                <c:pt idx="1">
                  <c:v>9.4562999999993735E-2</c:v>
                </c:pt>
                <c:pt idx="2">
                  <c:v>39.035239000000004</c:v>
                </c:pt>
                <c:pt idx="3">
                  <c:v>4.7994270000000014</c:v>
                </c:pt>
                <c:pt idx="4">
                  <c:v>59.771283999999994</c:v>
                </c:pt>
                <c:pt idx="5">
                  <c:v>-106.985738</c:v>
                </c:pt>
                <c:pt idx="6">
                  <c:v>10.12218399999999</c:v>
                </c:pt>
                <c:pt idx="7">
                  <c:v>-22.738039000000001</c:v>
                </c:pt>
                <c:pt idx="8">
                  <c:v>16.212696000000008</c:v>
                </c:pt>
                <c:pt idx="9">
                  <c:v>-26.931325000000001</c:v>
                </c:pt>
                <c:pt idx="10">
                  <c:v>5.1394459999999924</c:v>
                </c:pt>
                <c:pt idx="11">
                  <c:v>139.842378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Ikmēneša!$D$205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Ikmēneša!$A$206:$A$217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Ikmēneša!$D$206:$D$217</c:f>
              <c:numCache>
                <c:formatCode>#,##0</c:formatCode>
                <c:ptCount val="12"/>
                <c:pt idx="0">
                  <c:v>-129.655012</c:v>
                </c:pt>
                <c:pt idx="1">
                  <c:v>6.4317829999999958</c:v>
                </c:pt>
                <c:pt idx="2">
                  <c:v>-11.924211999999983</c:v>
                </c:pt>
                <c:pt idx="3">
                  <c:v>18.271029999999982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Ikmēneša!$F$205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Ikmēneša!$A$206:$A$217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Ikmēneša!$F$206:$F$217</c:f>
              <c:numCache>
                <c:formatCode>#,##0</c:formatCode>
                <c:ptCount val="12"/>
                <c:pt idx="0">
                  <c:v>29.002482612276804</c:v>
                </c:pt>
                <c:pt idx="1">
                  <c:v>6701.5851865956265</c:v>
                </c:pt>
                <c:pt idx="2">
                  <c:v>-130.54730111938082</c:v>
                </c:pt>
                <c:pt idx="3">
                  <c:v>280.69190342930472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B3-4AB4-B89A-EC79D75C7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150751"/>
        <c:axId val="1457155327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Ikmēneša!$E$205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Ikmēneša!$A$206:$A$217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Ikmēneša!$E$206:$E$217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-192.67925057429446</c:v>
                      </c:pt>
                      <c:pt idx="1">
                        <c:v>-99.409383496752284</c:v>
                      </c:pt>
                      <c:pt idx="2">
                        <c:v>-16.329165285915217</c:v>
                      </c:pt>
                      <c:pt idx="3">
                        <c:v>-91.621864182513505</c:v>
                      </c:pt>
                      <c:pt idx="4">
                        <c:v>-19.277025075053388</c:v>
                      </c:pt>
                      <c:pt idx="5">
                        <c:v>181.37863824724781</c:v>
                      </c:pt>
                      <c:pt idx="6">
                        <c:v>47.403913603246941</c:v>
                      </c:pt>
                      <c:pt idx="7">
                        <c:v>-645.95883585967351</c:v>
                      </c:pt>
                      <c:pt idx="8">
                        <c:v>6.8405389060597344</c:v>
                      </c:pt>
                      <c:pt idx="9">
                        <c:v>-65.500058075674588</c:v>
                      </c:pt>
                      <c:pt idx="10">
                        <c:v>-88.298010577143103</c:v>
                      </c:pt>
                      <c:pt idx="11">
                        <c:v>56.155272874353997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5715532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57150751"/>
        <c:crosses val="max"/>
        <c:crossBetween val="between"/>
      </c:valAx>
      <c:catAx>
        <c:axId val="14571507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71553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9923797866340247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Sociālās apdrošināšanas iemaksas,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%,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milj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. eiro</a:t>
            </a:r>
          </a:p>
        </c:rich>
      </c:tx>
      <c:layout>
        <c:manualLayout>
          <c:xMode val="edge"/>
          <c:yMode val="edge"/>
          <c:x val="0.16853407403034956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Ikmēneša!$C$238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Ikmēneša!$A$239:$A$250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Ikmēneša!$C$239:$C$250</c:f>
              <c:numCache>
                <c:formatCode>#,##0</c:formatCode>
                <c:ptCount val="12"/>
                <c:pt idx="0">
                  <c:v>333.47692799999999</c:v>
                </c:pt>
                <c:pt idx="1">
                  <c:v>272.47740800000003</c:v>
                </c:pt>
                <c:pt idx="2">
                  <c:v>277.09401300000002</c:v>
                </c:pt>
                <c:pt idx="3">
                  <c:v>295.57084500000008</c:v>
                </c:pt>
                <c:pt idx="4">
                  <c:v>313.84588599999984</c:v>
                </c:pt>
                <c:pt idx="5">
                  <c:v>318.98133200000007</c:v>
                </c:pt>
                <c:pt idx="6">
                  <c:v>308.24038399999995</c:v>
                </c:pt>
                <c:pt idx="7">
                  <c:v>303.84380999999985</c:v>
                </c:pt>
                <c:pt idx="8">
                  <c:v>324.38634600000023</c:v>
                </c:pt>
                <c:pt idx="9">
                  <c:v>335.20633300000009</c:v>
                </c:pt>
                <c:pt idx="10">
                  <c:v>301.93006699999978</c:v>
                </c:pt>
                <c:pt idx="11">
                  <c:v>282.16279299999997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Ikmēneša!$D$238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Ikmēneša!$A$239:$A$250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Ikmēneša!$D$239:$D$250</c:f>
              <c:numCache>
                <c:formatCode>#,##0</c:formatCode>
                <c:ptCount val="12"/>
                <c:pt idx="0">
                  <c:v>371.69686000000002</c:v>
                </c:pt>
                <c:pt idx="1">
                  <c:v>304.65934900000002</c:v>
                </c:pt>
                <c:pt idx="2">
                  <c:v>251.64926199999991</c:v>
                </c:pt>
                <c:pt idx="3">
                  <c:v>344.90570700000012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3"/>
          <c:tx>
            <c:strRef>
              <c:f>Ikmēneša!$F$238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Ikmēneša!$A$239:$A$250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Ikmēneša!$F$239:$F$250</c:f>
              <c:numCache>
                <c:formatCode>#,##0</c:formatCode>
                <c:ptCount val="12"/>
                <c:pt idx="0">
                  <c:v>11.46104236632528</c:v>
                </c:pt>
                <c:pt idx="1">
                  <c:v>11.810865802129179</c:v>
                </c:pt>
                <c:pt idx="2">
                  <c:v>-9.1827140992758025</c:v>
                </c:pt>
                <c:pt idx="3">
                  <c:v>16.691383076027023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FA-4B43-8ED1-412DC8A03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247087"/>
        <c:axId val="1444255823"/>
        <c:extLst>
          <c:ext xmlns:c15="http://schemas.microsoft.com/office/drawing/2012/chart" uri="{02D57815-91ED-43cb-92C2-25804820EDAC}">
            <c15:filteredLine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Ikmēneša!$E$238</c15:sqref>
                        </c15:formulaRef>
                      </c:ext>
                    </c:extLst>
                    <c:strCache>
                      <c:ptCount val="1"/>
                      <c:pt idx="0">
                        <c:v>pieaugums 2021-2020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Ikmēneša!$A$239:$A$250</c15:sqref>
                        </c15:formulaRef>
                      </c:ext>
                    </c:extLst>
                    <c:strCache>
                      <c:ptCount val="12"/>
                      <c:pt idx="0">
                        <c:v>janv</c:v>
                      </c:pt>
                      <c:pt idx="1">
                        <c:v>febr</c:v>
                      </c:pt>
                      <c:pt idx="2">
                        <c:v>marts</c:v>
                      </c:pt>
                      <c:pt idx="3">
                        <c:v>apr</c:v>
                      </c:pt>
                      <c:pt idx="4">
                        <c:v>maijs</c:v>
                      </c:pt>
                      <c:pt idx="5">
                        <c:v>jūn</c:v>
                      </c:pt>
                      <c:pt idx="6">
                        <c:v>jūl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okt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Ikmēneša!$E$239:$E$250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102.35248398062966</c:v>
                      </c:pt>
                      <c:pt idx="1">
                        <c:v>24.93747530130943</c:v>
                      </c:pt>
                      <c:pt idx="2">
                        <c:v>25.410266646589143</c:v>
                      </c:pt>
                      <c:pt idx="3">
                        <c:v>15.793320721716331</c:v>
                      </c:pt>
                      <c:pt idx="4">
                        <c:v>23.402935703298301</c:v>
                      </c:pt>
                      <c:pt idx="5">
                        <c:v>26.038201466952458</c:v>
                      </c:pt>
                      <c:pt idx="6">
                        <c:v>8.3410714820909106</c:v>
                      </c:pt>
                      <c:pt idx="7">
                        <c:v>8.715640886356347</c:v>
                      </c:pt>
                      <c:pt idx="8">
                        <c:v>18.432401741017944</c:v>
                      </c:pt>
                      <c:pt idx="9">
                        <c:v>27.085589522779685</c:v>
                      </c:pt>
                      <c:pt idx="10">
                        <c:v>26.506758299332468</c:v>
                      </c:pt>
                      <c:pt idx="11">
                        <c:v>-31.882992903717401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AC1-4173-9C16-1C94E2106328}"/>
                  </c:ext>
                </c:extLst>
              </c15:ser>
            </c15:filteredLineSeries>
          </c:ext>
        </c:extLst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425582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4247087"/>
        <c:crosses val="max"/>
        <c:crossBetween val="between"/>
      </c:valAx>
      <c:catAx>
        <c:axId val="14442470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2558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98113930006264"/>
          <c:y val="0.91717189071978733"/>
          <c:w val="0.46011981511453481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ieņēmumi, milj. eiro, %</a:t>
            </a:r>
          </a:p>
        </c:rich>
      </c:tx>
      <c:layout>
        <c:manualLayout>
          <c:xMode val="edge"/>
          <c:yMode val="edge"/>
          <c:x val="0.22966488509915581"/>
          <c:y val="5.270092226613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Ikmēneša!$C$6:$C$17</c:f>
              <c:numCache>
                <c:formatCode>#,##0</c:formatCode>
                <c:ptCount val="12"/>
                <c:pt idx="0">
                  <c:v>941.79193599999996</c:v>
                </c:pt>
                <c:pt idx="1">
                  <c:v>870.81498900000008</c:v>
                </c:pt>
                <c:pt idx="2">
                  <c:v>769.05468500000006</c:v>
                </c:pt>
                <c:pt idx="3">
                  <c:v>957.83515200000011</c:v>
                </c:pt>
                <c:pt idx="4">
                  <c:v>978.6785589999995</c:v>
                </c:pt>
                <c:pt idx="5">
                  <c:v>888.91623299999992</c:v>
                </c:pt>
                <c:pt idx="6">
                  <c:v>1027.4568880000006</c:v>
                </c:pt>
                <c:pt idx="7">
                  <c:v>969.99408099999982</c:v>
                </c:pt>
                <c:pt idx="8">
                  <c:v>985.43590399999994</c:v>
                </c:pt>
                <c:pt idx="9">
                  <c:v>1021.6625139999996</c:v>
                </c:pt>
                <c:pt idx="10">
                  <c:v>1038.2276739999998</c:v>
                </c:pt>
                <c:pt idx="11">
                  <c:v>1107.4090790000009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Ikmēneša!$D$5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Ikmēneša!$D$6:$D$17</c:f>
              <c:numCache>
                <c:formatCode>#,##0</c:formatCode>
                <c:ptCount val="12"/>
                <c:pt idx="0">
                  <c:v>1077.162761</c:v>
                </c:pt>
                <c:pt idx="1">
                  <c:v>983.50424399999974</c:v>
                </c:pt>
                <c:pt idx="2">
                  <c:v>838.44619000000012</c:v>
                </c:pt>
                <c:pt idx="3">
                  <c:v>1063.8670010000001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Ikmēneša!$F$5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Ikmēneša!$A$6:$A$17</c:f>
              <c:strCache>
                <c:ptCount val="12"/>
                <c:pt idx="0">
                  <c:v>janv</c:v>
                </c:pt>
                <c:pt idx="1">
                  <c:v>febr</c:v>
                </c:pt>
                <c:pt idx="2">
                  <c:v>marts</c:v>
                </c:pt>
                <c:pt idx="3">
                  <c:v>apr</c:v>
                </c:pt>
                <c:pt idx="4">
                  <c:v>maijs</c:v>
                </c:pt>
                <c:pt idx="5">
                  <c:v>jūn</c:v>
                </c:pt>
                <c:pt idx="6">
                  <c:v>jūl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Ikmēneša!$F$6:$F$17</c:f>
              <c:numCache>
                <c:formatCode>#,##0</c:formatCode>
                <c:ptCount val="12"/>
                <c:pt idx="0">
                  <c:v>14.37375070070679</c:v>
                </c:pt>
                <c:pt idx="1">
                  <c:v>12.940665517184801</c:v>
                </c:pt>
                <c:pt idx="2">
                  <c:v>9.0229610915119949</c:v>
                </c:pt>
                <c:pt idx="3">
                  <c:v>11.069947556069648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EC-420C-A610-84C5FD8A6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9</xdr:row>
      <xdr:rowOff>161925</xdr:rowOff>
    </xdr:from>
    <xdr:to>
      <xdr:col>5</xdr:col>
      <xdr:colOff>485776</xdr:colOff>
      <xdr:row>25</xdr:row>
      <xdr:rowOff>95250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F736C2BE-6036-4A30-9AFF-3F2B3C81E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6350</xdr:rowOff>
    </xdr:from>
    <xdr:to>
      <xdr:col>4</xdr:col>
      <xdr:colOff>495300</xdr:colOff>
      <xdr:row>83</xdr:row>
      <xdr:rowOff>39687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9A8AC16B-B6D3-4E03-9B75-CBDFE26F42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18612</xdr:colOff>
      <xdr:row>67</xdr:row>
      <xdr:rowOff>171450</xdr:rowOff>
    </xdr:from>
    <xdr:to>
      <xdr:col>8</xdr:col>
      <xdr:colOff>698500</xdr:colOff>
      <xdr:row>83</xdr:row>
      <xdr:rowOff>28575</xdr:rowOff>
    </xdr:to>
    <xdr:graphicFrame macro="">
      <xdr:nvGraphicFramePr>
        <xdr:cNvPr id="5" name="Diagramma 4">
          <a:extLst>
            <a:ext uri="{FF2B5EF4-FFF2-40B4-BE49-F238E27FC236}">
              <a16:creationId xmlns:a16="http://schemas.microsoft.com/office/drawing/2014/main" id="{BE286251-6F33-4636-8725-64164D46F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529480</xdr:colOff>
      <xdr:row>10</xdr:row>
      <xdr:rowOff>16249</xdr:rowOff>
    </xdr:from>
    <xdr:to>
      <xdr:col>8</xdr:col>
      <xdr:colOff>982758</xdr:colOff>
      <xdr:row>25</xdr:row>
      <xdr:rowOff>92449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F023EF27-809F-46AB-886C-32899E5BB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64294</xdr:colOff>
      <xdr:row>36</xdr:row>
      <xdr:rowOff>123825</xdr:rowOff>
    </xdr:from>
    <xdr:to>
      <xdr:col>5</xdr:col>
      <xdr:colOff>807244</xdr:colOff>
      <xdr:row>54</xdr:row>
      <xdr:rowOff>71438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B0D23465-3D40-4CBE-9085-7C58ACBBCA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1057274</xdr:colOff>
      <xdr:row>36</xdr:row>
      <xdr:rowOff>76201</xdr:rowOff>
    </xdr:from>
    <xdr:to>
      <xdr:col>9</xdr:col>
      <xdr:colOff>871743</xdr:colOff>
      <xdr:row>53</xdr:row>
      <xdr:rowOff>171451</xdr:rowOff>
    </xdr:to>
    <xdr:graphicFrame macro="">
      <xdr:nvGraphicFramePr>
        <xdr:cNvPr id="8" name="Diagramma 7">
          <a:extLst>
            <a:ext uri="{FF2B5EF4-FFF2-40B4-BE49-F238E27FC236}">
              <a16:creationId xmlns:a16="http://schemas.microsoft.com/office/drawing/2014/main" id="{0D0A3387-5D0C-4C86-A9A3-E372B0CA6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209550</xdr:colOff>
      <xdr:row>9</xdr:row>
      <xdr:rowOff>85725</xdr:rowOff>
    </xdr:from>
    <xdr:to>
      <xdr:col>17</xdr:col>
      <xdr:colOff>142875</xdr:colOff>
      <xdr:row>26</xdr:row>
      <xdr:rowOff>0</xdr:rowOff>
    </xdr:to>
    <xdr:graphicFrame macro="">
      <xdr:nvGraphicFramePr>
        <xdr:cNvPr id="9" name="Diagramma 8">
          <a:extLst>
            <a:ext uri="{FF2B5EF4-FFF2-40B4-BE49-F238E27FC236}">
              <a16:creationId xmlns:a16="http://schemas.microsoft.com/office/drawing/2014/main" id="{8A69E7E9-A6FB-4D2B-B55E-FBF7EE43B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454025</xdr:colOff>
      <xdr:row>36</xdr:row>
      <xdr:rowOff>36232</xdr:rowOff>
    </xdr:from>
    <xdr:to>
      <xdr:col>19</xdr:col>
      <xdr:colOff>0</xdr:colOff>
      <xdr:row>54</xdr:row>
      <xdr:rowOff>0</xdr:rowOff>
    </xdr:to>
    <xdr:graphicFrame macro="">
      <xdr:nvGraphicFramePr>
        <xdr:cNvPr id="10" name="Diagramma 9">
          <a:extLst>
            <a:ext uri="{FF2B5EF4-FFF2-40B4-BE49-F238E27FC236}">
              <a16:creationId xmlns:a16="http://schemas.microsoft.com/office/drawing/2014/main" id="{2E0A2F3B-C032-4ABF-BEA8-9044E68CB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470647</xdr:colOff>
      <xdr:row>53</xdr:row>
      <xdr:rowOff>112058</xdr:rowOff>
    </xdr:from>
    <xdr:to>
      <xdr:col>9</xdr:col>
      <xdr:colOff>33617</xdr:colOff>
      <xdr:row>67</xdr:row>
      <xdr:rowOff>145675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470648</xdr:colOff>
      <xdr:row>87</xdr:row>
      <xdr:rowOff>71158</xdr:rowOff>
    </xdr:from>
    <xdr:to>
      <xdr:col>7</xdr:col>
      <xdr:colOff>459441</xdr:colOff>
      <xdr:row>99</xdr:row>
      <xdr:rowOff>175933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224117</xdr:colOff>
      <xdr:row>120</xdr:row>
      <xdr:rowOff>7844</xdr:rowOff>
    </xdr:from>
    <xdr:to>
      <xdr:col>7</xdr:col>
      <xdr:colOff>616324</xdr:colOff>
      <xdr:row>132</xdr:row>
      <xdr:rowOff>122144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22413</xdr:colOff>
      <xdr:row>153</xdr:row>
      <xdr:rowOff>18411</xdr:rowOff>
    </xdr:from>
    <xdr:to>
      <xdr:col>7</xdr:col>
      <xdr:colOff>78442</xdr:colOff>
      <xdr:row>165</xdr:row>
      <xdr:rowOff>132711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425825</xdr:colOff>
      <xdr:row>186</xdr:row>
      <xdr:rowOff>49306</xdr:rowOff>
    </xdr:from>
    <xdr:to>
      <xdr:col>7</xdr:col>
      <xdr:colOff>100854</xdr:colOff>
      <xdr:row>199</xdr:row>
      <xdr:rowOff>145676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190501</xdr:colOff>
      <xdr:row>218</xdr:row>
      <xdr:rowOff>123264</xdr:rowOff>
    </xdr:from>
    <xdr:to>
      <xdr:col>8</xdr:col>
      <xdr:colOff>0</xdr:colOff>
      <xdr:row>233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11206</xdr:colOff>
      <xdr:row>252</xdr:row>
      <xdr:rowOff>151839</xdr:rowOff>
    </xdr:from>
    <xdr:to>
      <xdr:col>7</xdr:col>
      <xdr:colOff>560294</xdr:colOff>
      <xdr:row>266</xdr:row>
      <xdr:rowOff>145676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470647</xdr:colOff>
      <xdr:row>19</xdr:row>
      <xdr:rowOff>56029</xdr:rowOff>
    </xdr:from>
    <xdr:to>
      <xdr:col>9</xdr:col>
      <xdr:colOff>33617</xdr:colOff>
      <xdr:row>33</xdr:row>
      <xdr:rowOff>89646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C55F8343-C9A0-42C0-B3BA-505C99E69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CB175B59-C86F-4970-901D-0406E09AA9DD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1" dT="2022-03-17T10:08:54.03" personId="{CB175B59-C86F-4970-901D-0406E09AA9DD}" id="{3DD1CF80-212B-48F8-8286-9798E0DC7925}">
    <text>Paslēptās šūnas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31" dT="2022-03-17T10:08:16.40" personId="{CB175B59-C86F-4970-901D-0406E09AA9DD}" id="{4B2A0BBD-E08D-4C1C-B8BB-05CFB9B6B7E9}">
    <text>tabula_ikm A:D kolonnas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.stat.gov.lv/pxweb/lv/OSP_PUB/START__VEK__PC__PCI/PCI030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sheetPr>
    <tabColor rgb="FF92D050"/>
  </sheetPr>
  <dimension ref="A1:AH85"/>
  <sheetViews>
    <sheetView zoomScale="70" zoomScaleNormal="70" workbookViewId="0">
      <pane xSplit="4" topLeftCell="W1" activePane="topRight" state="frozen"/>
      <selection activeCell="D1" sqref="D1"/>
      <selection pane="topRight" activeCell="AI55" sqref="AI55"/>
    </sheetView>
  </sheetViews>
  <sheetFormatPr defaultRowHeight="13.5" customHeight="1"/>
  <cols>
    <col min="1" max="1" width="101" hidden="1" customWidth="1"/>
    <col min="2" max="2" width="16.81640625" hidden="1" customWidth="1"/>
    <col min="3" max="3" width="3.26953125" customWidth="1"/>
    <col min="4" max="4" width="101" bestFit="1" customWidth="1"/>
    <col min="5" max="5" width="10" customWidth="1"/>
    <col min="6" max="16" width="11" bestFit="1" customWidth="1"/>
    <col min="17" max="17" width="10.81640625" bestFit="1" customWidth="1"/>
    <col min="18" max="22" width="11" bestFit="1" customWidth="1"/>
    <col min="23" max="23" width="13.453125" customWidth="1"/>
    <col min="24" max="24" width="11.54296875" customWidth="1"/>
    <col min="25" max="25" width="14.26953125" customWidth="1"/>
    <col min="26" max="26" width="13.1796875" customWidth="1"/>
    <col min="27" max="27" width="12.81640625" customWidth="1"/>
    <col min="28" max="28" width="13.81640625" customWidth="1"/>
    <col min="29" max="29" width="15.1796875" customWidth="1"/>
    <col min="30" max="30" width="14.81640625" customWidth="1"/>
    <col min="31" max="31" width="15.453125" customWidth="1"/>
    <col min="32" max="32" width="12.26953125" customWidth="1"/>
    <col min="33" max="33" width="10.54296875" hidden="1" customWidth="1"/>
    <col min="34" max="34" width="14.54296875" customWidth="1"/>
  </cols>
  <sheetData>
    <row r="1" spans="1:34" ht="13.5" hidden="1" customHeight="1">
      <c r="D1" t="s">
        <v>37</v>
      </c>
    </row>
    <row r="2" spans="1:34" ht="13.5" hidden="1" customHeight="1">
      <c r="D2" s="7" t="s">
        <v>87</v>
      </c>
    </row>
    <row r="3" spans="1:34" ht="13.5" hidden="1" customHeight="1">
      <c r="A3" s="7" t="s">
        <v>65</v>
      </c>
      <c r="B3" s="7" t="s">
        <v>68</v>
      </c>
      <c r="C3" s="7" t="s">
        <v>69</v>
      </c>
      <c r="E3" s="71">
        <v>44197</v>
      </c>
      <c r="F3" s="71">
        <v>44228</v>
      </c>
      <c r="G3" s="71">
        <v>44256</v>
      </c>
      <c r="H3" s="71">
        <v>44287</v>
      </c>
      <c r="I3" s="71">
        <v>44317</v>
      </c>
      <c r="J3" s="71">
        <v>44348</v>
      </c>
      <c r="K3" s="71">
        <v>44378</v>
      </c>
      <c r="L3" s="71">
        <v>44409</v>
      </c>
      <c r="M3" s="71">
        <v>44440</v>
      </c>
      <c r="N3" s="71">
        <v>44470</v>
      </c>
      <c r="O3" s="71">
        <v>44501</v>
      </c>
      <c r="P3" s="71">
        <v>44531</v>
      </c>
      <c r="Q3" s="71">
        <v>44562</v>
      </c>
      <c r="R3" s="71">
        <v>44593</v>
      </c>
      <c r="S3" s="71">
        <v>44621</v>
      </c>
      <c r="T3" s="71">
        <v>44652</v>
      </c>
      <c r="U3" s="71">
        <v>44682</v>
      </c>
      <c r="V3" s="71">
        <v>44713</v>
      </c>
      <c r="W3" s="71">
        <v>44743</v>
      </c>
      <c r="X3" s="71">
        <v>44774</v>
      </c>
      <c r="Y3" s="71">
        <v>44805</v>
      </c>
      <c r="Z3" s="71">
        <v>44835</v>
      </c>
      <c r="AA3" s="71">
        <v>44866</v>
      </c>
      <c r="AB3" s="71">
        <v>44896</v>
      </c>
      <c r="AC3" s="71">
        <v>44927</v>
      </c>
      <c r="AD3" s="71">
        <v>44958</v>
      </c>
      <c r="AE3" s="71">
        <v>44986</v>
      </c>
      <c r="AF3" s="71">
        <v>45017</v>
      </c>
      <c r="AG3" s="71">
        <v>45047</v>
      </c>
      <c r="AH3" s="18"/>
    </row>
    <row r="4" spans="1:34" ht="13.5" hidden="1" customHeight="1">
      <c r="A4" t="s">
        <v>26</v>
      </c>
      <c r="B4" t="s">
        <v>53</v>
      </c>
      <c r="C4" t="str">
        <f t="shared" ref="C4:C8" si="0">"F" &amp; RIGHT(B4,2)</f>
        <v>F11</v>
      </c>
      <c r="D4" s="72" t="s">
        <v>136</v>
      </c>
      <c r="E4">
        <v>782986001</v>
      </c>
      <c r="F4">
        <v>1517838066</v>
      </c>
      <c r="G4">
        <v>2155729576</v>
      </c>
      <c r="H4">
        <v>3020079913</v>
      </c>
      <c r="I4">
        <v>3870332991</v>
      </c>
      <c r="J4">
        <v>4639071379</v>
      </c>
      <c r="K4">
        <v>5561333635</v>
      </c>
      <c r="L4">
        <v>6463007819</v>
      </c>
      <c r="M4">
        <v>7315733405</v>
      </c>
      <c r="N4">
        <v>8211607011</v>
      </c>
      <c r="O4">
        <v>9068068109</v>
      </c>
      <c r="P4">
        <v>10031004143</v>
      </c>
      <c r="Q4">
        <v>941791936</v>
      </c>
      <c r="R4">
        <v>1812606925</v>
      </c>
      <c r="S4">
        <v>2581661610</v>
      </c>
      <c r="T4">
        <v>3539496762</v>
      </c>
      <c r="U4">
        <v>4518175321</v>
      </c>
      <c r="V4">
        <v>5407091554</v>
      </c>
      <c r="W4">
        <v>6434548442</v>
      </c>
      <c r="X4">
        <v>7404542523</v>
      </c>
      <c r="Y4" s="19">
        <v>8389978427</v>
      </c>
      <c r="Z4" s="19">
        <v>9411640941</v>
      </c>
      <c r="AA4">
        <v>10449868615</v>
      </c>
      <c r="AB4">
        <v>11557277694</v>
      </c>
      <c r="AC4">
        <v>1077162761</v>
      </c>
      <c r="AD4">
        <v>2060667005</v>
      </c>
      <c r="AE4">
        <v>2899113195</v>
      </c>
      <c r="AF4">
        <v>3962980196</v>
      </c>
    </row>
    <row r="5" spans="1:34" ht="13.5" hidden="1" customHeight="1">
      <c r="A5" t="s">
        <v>27</v>
      </c>
      <c r="B5" t="s">
        <v>54</v>
      </c>
      <c r="C5" t="str">
        <f t="shared" si="0"/>
        <v>F12</v>
      </c>
      <c r="D5" t="s">
        <v>137</v>
      </c>
      <c r="E5">
        <v>150693296</v>
      </c>
      <c r="F5">
        <v>304256391</v>
      </c>
      <c r="G5">
        <v>349917133</v>
      </c>
      <c r="H5">
        <v>478261653</v>
      </c>
      <c r="I5">
        <v>606817844</v>
      </c>
      <c r="J5">
        <v>741803965</v>
      </c>
      <c r="K5">
        <v>930056498</v>
      </c>
      <c r="L5">
        <v>1100561358</v>
      </c>
      <c r="M5">
        <v>1269202966</v>
      </c>
      <c r="N5">
        <v>1538778115</v>
      </c>
      <c r="O5">
        <v>1706412235</v>
      </c>
      <c r="P5">
        <v>1927276804</v>
      </c>
      <c r="Q5">
        <v>230248965</v>
      </c>
      <c r="R5">
        <v>414807861</v>
      </c>
      <c r="S5">
        <v>479810072</v>
      </c>
      <c r="T5">
        <v>645117045</v>
      </c>
      <c r="U5">
        <v>820360492</v>
      </c>
      <c r="V5">
        <v>1013832151</v>
      </c>
      <c r="W5">
        <v>1234795738</v>
      </c>
      <c r="X5">
        <v>1436813050</v>
      </c>
      <c r="Y5" s="19">
        <v>1645202957</v>
      </c>
      <c r="Z5" s="19">
        <v>1862293769</v>
      </c>
      <c r="AA5">
        <v>2062579234</v>
      </c>
      <c r="AB5">
        <v>2262476998</v>
      </c>
      <c r="AC5">
        <v>239533996</v>
      </c>
      <c r="AD5">
        <v>443478988</v>
      </c>
      <c r="AE5">
        <v>512689302</v>
      </c>
      <c r="AF5">
        <v>689636809</v>
      </c>
    </row>
    <row r="6" spans="1:34" ht="13.5" hidden="1" customHeight="1">
      <c r="A6" t="s">
        <v>66</v>
      </c>
      <c r="B6" t="s">
        <v>55</v>
      </c>
      <c r="C6" t="str">
        <f t="shared" si="0"/>
        <v>F15</v>
      </c>
      <c r="D6" t="s">
        <v>138</v>
      </c>
      <c r="E6">
        <v>21150622</v>
      </c>
      <c r="F6">
        <v>29341221</v>
      </c>
      <c r="G6">
        <v>44894487</v>
      </c>
      <c r="H6">
        <v>92441084</v>
      </c>
      <c r="I6">
        <v>129256938</v>
      </c>
      <c r="J6">
        <v>170516356</v>
      </c>
      <c r="K6">
        <v>197193711</v>
      </c>
      <c r="L6">
        <v>223274007</v>
      </c>
      <c r="M6">
        <v>237786905</v>
      </c>
      <c r="N6">
        <v>261171494</v>
      </c>
      <c r="O6">
        <v>289922715</v>
      </c>
      <c r="P6">
        <v>281079384</v>
      </c>
      <c r="Q6">
        <v>36645934</v>
      </c>
      <c r="R6">
        <v>65453490</v>
      </c>
      <c r="S6">
        <v>84329572</v>
      </c>
      <c r="T6">
        <v>118772170</v>
      </c>
      <c r="U6">
        <v>168239634</v>
      </c>
      <c r="V6">
        <v>212502749</v>
      </c>
      <c r="W6">
        <v>240362866</v>
      </c>
      <c r="X6">
        <v>271603865</v>
      </c>
      <c r="Y6" s="19">
        <v>296772906</v>
      </c>
      <c r="Z6" s="19">
        <v>326118817</v>
      </c>
      <c r="AA6">
        <v>350377953</v>
      </c>
      <c r="AB6">
        <v>378750446</v>
      </c>
      <c r="AC6">
        <v>61791103</v>
      </c>
      <c r="AD6">
        <v>81114180</v>
      </c>
      <c r="AE6">
        <v>112121906</v>
      </c>
      <c r="AF6">
        <v>159997888</v>
      </c>
    </row>
    <row r="7" spans="1:34" ht="13.5" hidden="1" customHeight="1">
      <c r="A7" t="s">
        <v>29</v>
      </c>
      <c r="B7" t="s">
        <v>56</v>
      </c>
      <c r="C7" t="str">
        <f t="shared" si="0"/>
        <v>F17</v>
      </c>
      <c r="D7" t="s">
        <v>139</v>
      </c>
      <c r="E7">
        <v>164800017</v>
      </c>
      <c r="F7">
        <v>382891032</v>
      </c>
      <c r="G7">
        <v>603841055</v>
      </c>
      <c r="H7">
        <v>859098304</v>
      </c>
      <c r="I7">
        <v>1113424414</v>
      </c>
      <c r="J7">
        <v>1366507470</v>
      </c>
      <c r="K7">
        <v>1651016733</v>
      </c>
      <c r="L7">
        <v>1930501642</v>
      </c>
      <c r="M7">
        <v>2204401640</v>
      </c>
      <c r="N7">
        <v>2468165875</v>
      </c>
      <c r="O7">
        <v>2706833019</v>
      </c>
      <c r="P7">
        <v>3121065536</v>
      </c>
      <c r="Q7">
        <v>333476928</v>
      </c>
      <c r="R7">
        <v>605954336</v>
      </c>
      <c r="S7">
        <v>883048349</v>
      </c>
      <c r="T7">
        <v>1178619194</v>
      </c>
      <c r="U7">
        <v>1492465080</v>
      </c>
      <c r="V7">
        <v>1811446412</v>
      </c>
      <c r="W7">
        <v>2119686796</v>
      </c>
      <c r="X7">
        <v>2423530606</v>
      </c>
      <c r="Y7" s="19">
        <v>2747916952</v>
      </c>
      <c r="Z7" s="19">
        <v>3083123285</v>
      </c>
      <c r="AA7">
        <v>3385053352</v>
      </c>
      <c r="AB7">
        <v>3667216145</v>
      </c>
      <c r="AC7">
        <v>371696860</v>
      </c>
      <c r="AD7">
        <v>676356209</v>
      </c>
      <c r="AE7">
        <v>928005471</v>
      </c>
      <c r="AF7">
        <v>1272911178</v>
      </c>
    </row>
    <row r="8" spans="1:34" ht="13.5" hidden="1" customHeight="1">
      <c r="A8" t="s">
        <v>30</v>
      </c>
      <c r="B8" t="s">
        <v>58</v>
      </c>
      <c r="C8" t="str">
        <f t="shared" si="0"/>
        <v>F23</v>
      </c>
      <c r="D8" t="s">
        <v>140</v>
      </c>
      <c r="E8">
        <v>108444799</v>
      </c>
      <c r="F8">
        <v>124455696</v>
      </c>
      <c r="G8">
        <v>171109036</v>
      </c>
      <c r="H8">
        <v>228394178</v>
      </c>
      <c r="I8">
        <v>302439125</v>
      </c>
      <c r="J8">
        <v>264417142</v>
      </c>
      <c r="K8">
        <v>271284113</v>
      </c>
      <c r="L8">
        <v>275448903</v>
      </c>
      <c r="M8">
        <v>290623570</v>
      </c>
      <c r="N8">
        <v>212561627</v>
      </c>
      <c r="O8">
        <v>256481048</v>
      </c>
      <c r="P8">
        <v>346034462</v>
      </c>
      <c r="Q8">
        <v>-100505827</v>
      </c>
      <c r="R8">
        <v>-100411264</v>
      </c>
      <c r="S8">
        <v>-61376025</v>
      </c>
      <c r="T8">
        <v>-56576598</v>
      </c>
      <c r="U8">
        <v>3194686</v>
      </c>
      <c r="V8">
        <v>-103791052</v>
      </c>
      <c r="W8">
        <v>-93668868</v>
      </c>
      <c r="X8">
        <v>-116406907</v>
      </c>
      <c r="Y8" s="19">
        <v>-100194211</v>
      </c>
      <c r="Z8" s="19">
        <v>-127125536</v>
      </c>
      <c r="AA8">
        <v>-121986090</v>
      </c>
      <c r="AB8">
        <v>17856288</v>
      </c>
      <c r="AC8">
        <v>-129655012</v>
      </c>
      <c r="AD8">
        <v>-123223229</v>
      </c>
      <c r="AE8">
        <v>-135147441</v>
      </c>
      <c r="AF8">
        <v>-116876411</v>
      </c>
    </row>
    <row r="9" spans="1:34" ht="13.5" hidden="1" customHeight="1">
      <c r="A9" t="s">
        <v>67</v>
      </c>
      <c r="B9" t="s">
        <v>57</v>
      </c>
      <c r="C9" t="str">
        <f t="shared" ref="C9:C23" si="1">"F" &amp; RIGHT(B9,2)</f>
        <v>F24</v>
      </c>
      <c r="D9" t="s">
        <v>141</v>
      </c>
      <c r="E9">
        <v>6158129</v>
      </c>
      <c r="F9">
        <v>45930054</v>
      </c>
      <c r="G9">
        <v>92168993</v>
      </c>
      <c r="H9">
        <v>103120321</v>
      </c>
      <c r="I9">
        <v>126447206</v>
      </c>
      <c r="J9">
        <v>140605334</v>
      </c>
      <c r="K9">
        <v>148471849</v>
      </c>
      <c r="L9">
        <v>177187317</v>
      </c>
      <c r="M9">
        <v>183910319</v>
      </c>
      <c r="N9">
        <v>191978625</v>
      </c>
      <c r="O9">
        <v>218695496</v>
      </c>
      <c r="P9">
        <v>226177887</v>
      </c>
      <c r="Q9">
        <v>4898837</v>
      </c>
      <c r="R9">
        <v>44486477</v>
      </c>
      <c r="S9">
        <v>94795334</v>
      </c>
      <c r="T9">
        <v>107551926</v>
      </c>
      <c r="U9">
        <v>131999717</v>
      </c>
      <c r="V9">
        <v>141170119</v>
      </c>
      <c r="W9">
        <v>150431317</v>
      </c>
      <c r="X9">
        <v>182248713</v>
      </c>
      <c r="Y9" s="19">
        <v>189347960</v>
      </c>
      <c r="Z9" s="19">
        <v>197647149</v>
      </c>
      <c r="AA9">
        <v>223317832</v>
      </c>
      <c r="AB9">
        <v>230607504</v>
      </c>
      <c r="AD9">
        <v>49241673</v>
      </c>
      <c r="AE9">
        <v>106437275</v>
      </c>
      <c r="AF9">
        <v>118372069</v>
      </c>
    </row>
    <row r="10" spans="1:34" ht="13.5" hidden="1" customHeight="1">
      <c r="A10" t="s">
        <v>32</v>
      </c>
      <c r="B10" t="s">
        <v>59</v>
      </c>
      <c r="C10" t="str">
        <f t="shared" si="1"/>
        <v>F27</v>
      </c>
      <c r="D10" t="s">
        <v>142</v>
      </c>
      <c r="E10">
        <v>4493403</v>
      </c>
      <c r="F10">
        <v>8389120</v>
      </c>
      <c r="G10">
        <v>13049462</v>
      </c>
      <c r="H10">
        <v>18853510</v>
      </c>
      <c r="I10">
        <v>23860588</v>
      </c>
      <c r="J10">
        <v>29057912</v>
      </c>
      <c r="K10">
        <v>34810983</v>
      </c>
      <c r="L10">
        <v>40629245</v>
      </c>
      <c r="M10">
        <v>47053366</v>
      </c>
      <c r="N10">
        <v>54661474</v>
      </c>
      <c r="O10">
        <v>62410758</v>
      </c>
      <c r="P10">
        <v>70732686</v>
      </c>
      <c r="Q10">
        <v>10190892</v>
      </c>
      <c r="R10">
        <v>16273138</v>
      </c>
      <c r="S10">
        <v>23892379</v>
      </c>
      <c r="T10">
        <v>31499103</v>
      </c>
      <c r="U10">
        <v>40281015</v>
      </c>
      <c r="V10">
        <v>48728395</v>
      </c>
      <c r="W10">
        <v>55246982</v>
      </c>
      <c r="X10">
        <v>61078741</v>
      </c>
      <c r="Y10" s="19">
        <v>66946858</v>
      </c>
      <c r="Z10" s="19">
        <v>72747319</v>
      </c>
      <c r="AA10">
        <v>79035132</v>
      </c>
      <c r="AB10">
        <v>87860053</v>
      </c>
      <c r="AC10">
        <v>5627685</v>
      </c>
      <c r="AD10">
        <v>10594569</v>
      </c>
      <c r="AE10">
        <v>16978587</v>
      </c>
      <c r="AF10">
        <v>20653252</v>
      </c>
    </row>
    <row r="11" spans="1:34" ht="13.5" hidden="1" customHeight="1">
      <c r="A11" t="s">
        <v>24</v>
      </c>
      <c r="B11" t="s">
        <v>60</v>
      </c>
      <c r="C11" t="str">
        <f t="shared" si="1"/>
        <v>F31</v>
      </c>
      <c r="D11" t="s">
        <v>143</v>
      </c>
      <c r="E11">
        <v>218354779</v>
      </c>
      <c r="F11">
        <v>427397867</v>
      </c>
      <c r="G11">
        <v>595438146</v>
      </c>
      <c r="H11">
        <v>836059417</v>
      </c>
      <c r="I11">
        <v>1070000149</v>
      </c>
      <c r="J11">
        <v>1321118117</v>
      </c>
      <c r="K11">
        <v>1593565856</v>
      </c>
      <c r="L11">
        <v>1860209567</v>
      </c>
      <c r="M11">
        <v>2115722864</v>
      </c>
      <c r="N11">
        <v>2397506798</v>
      </c>
      <c r="O11">
        <v>2641602413</v>
      </c>
      <c r="P11">
        <v>2762492961</v>
      </c>
      <c r="Q11">
        <v>305156828</v>
      </c>
      <c r="R11">
        <v>546381346</v>
      </c>
      <c r="S11">
        <v>759651367</v>
      </c>
      <c r="T11">
        <v>1077161702</v>
      </c>
      <c r="U11">
        <v>1319037687</v>
      </c>
      <c r="V11">
        <v>1626416773</v>
      </c>
      <c r="W11">
        <v>1944807080</v>
      </c>
      <c r="X11">
        <v>2247531641</v>
      </c>
      <c r="Y11" s="19">
        <v>2522962929</v>
      </c>
      <c r="Z11" s="19">
        <v>2852105693</v>
      </c>
      <c r="AA11">
        <v>3216582489</v>
      </c>
      <c r="AB11">
        <v>3558670961</v>
      </c>
      <c r="AC11">
        <v>386109671</v>
      </c>
      <c r="AD11">
        <v>687915813</v>
      </c>
      <c r="AE11">
        <v>1013348041</v>
      </c>
      <c r="AF11">
        <v>1351846955</v>
      </c>
    </row>
    <row r="12" spans="1:34" ht="13.5" hidden="1" customHeight="1">
      <c r="A12" t="s">
        <v>33</v>
      </c>
      <c r="B12" t="s">
        <v>61</v>
      </c>
      <c r="C12" t="str">
        <f t="shared" si="1"/>
        <v>F33</v>
      </c>
      <c r="D12" t="s">
        <v>144</v>
      </c>
      <c r="E12">
        <v>88145899</v>
      </c>
      <c r="F12">
        <v>163463270</v>
      </c>
      <c r="G12">
        <v>239102843</v>
      </c>
      <c r="H12">
        <v>336233155</v>
      </c>
      <c r="I12">
        <v>418373237</v>
      </c>
      <c r="J12">
        <v>512765092</v>
      </c>
      <c r="K12">
        <v>618107420</v>
      </c>
      <c r="L12">
        <v>724222765</v>
      </c>
      <c r="M12">
        <v>822336783</v>
      </c>
      <c r="N12">
        <v>919159092</v>
      </c>
      <c r="O12">
        <v>1006717926</v>
      </c>
      <c r="P12">
        <v>1104840466</v>
      </c>
      <c r="Q12">
        <v>94489587</v>
      </c>
      <c r="R12">
        <v>179921676</v>
      </c>
      <c r="S12">
        <v>263389093</v>
      </c>
      <c r="T12">
        <v>358151207</v>
      </c>
      <c r="U12">
        <v>447859996</v>
      </c>
      <c r="V12">
        <v>547155788</v>
      </c>
      <c r="W12">
        <v>644762451</v>
      </c>
      <c r="X12">
        <v>744082037</v>
      </c>
      <c r="Y12" s="19">
        <v>852451549</v>
      </c>
      <c r="Z12" s="19">
        <v>949402972</v>
      </c>
      <c r="AA12">
        <v>1045647227</v>
      </c>
      <c r="AB12">
        <v>1131033281</v>
      </c>
      <c r="AC12">
        <v>101657421</v>
      </c>
      <c r="AD12">
        <v>186857509</v>
      </c>
      <c r="AE12">
        <v>279096830</v>
      </c>
      <c r="AF12">
        <v>372240452</v>
      </c>
    </row>
    <row r="13" spans="1:34" ht="13.5" hidden="1" customHeight="1">
      <c r="A13" t="s">
        <v>34</v>
      </c>
      <c r="B13" t="s">
        <v>62</v>
      </c>
      <c r="C13" t="str">
        <f t="shared" si="1"/>
        <v>F36</v>
      </c>
      <c r="D13" t="s">
        <v>145</v>
      </c>
      <c r="E13">
        <v>12891030</v>
      </c>
      <c r="F13">
        <v>23523500</v>
      </c>
      <c r="G13">
        <v>36960140</v>
      </c>
      <c r="H13">
        <v>49263327</v>
      </c>
      <c r="I13">
        <v>60847773</v>
      </c>
      <c r="J13">
        <v>72955927</v>
      </c>
      <c r="K13">
        <v>85960891</v>
      </c>
      <c r="L13">
        <v>99677976</v>
      </c>
      <c r="M13">
        <v>113002262</v>
      </c>
      <c r="N13">
        <v>125695226</v>
      </c>
      <c r="O13">
        <v>136550256</v>
      </c>
      <c r="P13">
        <v>147740152</v>
      </c>
      <c r="Q13">
        <v>14748864</v>
      </c>
      <c r="R13">
        <v>26568751</v>
      </c>
      <c r="S13">
        <v>40396446</v>
      </c>
      <c r="T13">
        <v>54033748</v>
      </c>
      <c r="U13">
        <v>69081632</v>
      </c>
      <c r="V13">
        <v>83598359</v>
      </c>
      <c r="W13">
        <v>98603517</v>
      </c>
      <c r="X13">
        <v>113952877</v>
      </c>
      <c r="Y13" s="19">
        <v>128077428</v>
      </c>
      <c r="Z13" s="19">
        <v>141646092</v>
      </c>
      <c r="AA13">
        <v>155082146</v>
      </c>
      <c r="AB13">
        <v>168399736</v>
      </c>
      <c r="AC13">
        <v>18154273</v>
      </c>
      <c r="AD13">
        <v>32664174</v>
      </c>
      <c r="AE13">
        <v>49547329</v>
      </c>
      <c r="AF13">
        <v>64009015</v>
      </c>
    </row>
    <row r="14" spans="1:34" ht="13.5" hidden="1" customHeight="1">
      <c r="A14" t="s">
        <v>35</v>
      </c>
      <c r="B14" t="s">
        <v>63</v>
      </c>
      <c r="C14" t="str">
        <f t="shared" si="1"/>
        <v>F38</v>
      </c>
      <c r="D14" t="s">
        <v>146</v>
      </c>
      <c r="E14">
        <v>7772884</v>
      </c>
      <c r="F14">
        <v>8174618</v>
      </c>
      <c r="G14">
        <v>9276233</v>
      </c>
      <c r="H14">
        <v>18386433</v>
      </c>
      <c r="I14">
        <v>18897885</v>
      </c>
      <c r="J14">
        <v>19355980</v>
      </c>
      <c r="K14">
        <v>30898468</v>
      </c>
      <c r="L14">
        <v>31377108</v>
      </c>
      <c r="M14">
        <v>31780715</v>
      </c>
      <c r="N14">
        <v>42019258</v>
      </c>
      <c r="O14">
        <v>42536333</v>
      </c>
      <c r="P14">
        <v>43639816</v>
      </c>
      <c r="Q14">
        <v>12438751</v>
      </c>
      <c r="R14">
        <v>13167696</v>
      </c>
      <c r="S14">
        <v>13720912</v>
      </c>
      <c r="T14">
        <v>25040143</v>
      </c>
      <c r="U14">
        <v>25649860</v>
      </c>
      <c r="V14">
        <v>26026192</v>
      </c>
      <c r="W14">
        <v>39514921</v>
      </c>
      <c r="X14">
        <v>40101981</v>
      </c>
      <c r="Y14" s="19">
        <v>40486806</v>
      </c>
      <c r="Z14" s="19">
        <v>53674876</v>
      </c>
      <c r="AA14">
        <v>54170572</v>
      </c>
      <c r="AB14">
        <v>54393112</v>
      </c>
      <c r="AC14">
        <v>14662791</v>
      </c>
      <c r="AD14">
        <v>15657267</v>
      </c>
      <c r="AE14">
        <v>16025136</v>
      </c>
      <c r="AF14">
        <v>30177936</v>
      </c>
    </row>
    <row r="15" spans="1:34" ht="13.5" hidden="1" customHeight="1">
      <c r="A15" t="s">
        <v>36</v>
      </c>
      <c r="B15" t="s">
        <v>64</v>
      </c>
      <c r="C15" t="str">
        <f t="shared" si="1"/>
        <v>F40</v>
      </c>
      <c r="D15" t="s">
        <v>147</v>
      </c>
      <c r="E15">
        <v>81143</v>
      </c>
      <c r="F15">
        <v>15297</v>
      </c>
      <c r="G15">
        <v>-27952</v>
      </c>
      <c r="H15">
        <v>-31469</v>
      </c>
      <c r="I15">
        <v>-32168</v>
      </c>
      <c r="J15">
        <v>-31916</v>
      </c>
      <c r="K15">
        <v>-32887</v>
      </c>
      <c r="L15">
        <v>-82069</v>
      </c>
      <c r="M15">
        <v>-87985</v>
      </c>
      <c r="N15">
        <v>-90573</v>
      </c>
      <c r="O15">
        <v>-94090</v>
      </c>
      <c r="P15">
        <v>-76011</v>
      </c>
      <c r="Q15">
        <v>2177</v>
      </c>
      <c r="R15">
        <v>3418</v>
      </c>
      <c r="S15">
        <v>4111</v>
      </c>
      <c r="T15">
        <v>127122</v>
      </c>
      <c r="U15">
        <v>5522</v>
      </c>
      <c r="V15">
        <v>5668</v>
      </c>
      <c r="W15">
        <v>5642</v>
      </c>
      <c r="X15">
        <v>5919</v>
      </c>
      <c r="Y15" s="19">
        <v>6293</v>
      </c>
      <c r="Z15" s="19">
        <v>6505</v>
      </c>
      <c r="AA15">
        <v>8768</v>
      </c>
      <c r="AB15">
        <v>13170</v>
      </c>
      <c r="AC15">
        <v>8518</v>
      </c>
      <c r="AD15">
        <v>9852</v>
      </c>
      <c r="AE15">
        <v>10759</v>
      </c>
      <c r="AF15">
        <v>11053</v>
      </c>
    </row>
    <row r="16" spans="1:34" ht="13.5" hidden="1" customHeight="1">
      <c r="A16" t="s">
        <v>4</v>
      </c>
      <c r="B16" t="s">
        <v>52</v>
      </c>
      <c r="C16" t="str">
        <f t="shared" si="1"/>
        <v>F43</v>
      </c>
      <c r="D16" s="72" t="s">
        <v>148</v>
      </c>
      <c r="E16">
        <v>31370888</v>
      </c>
      <c r="F16">
        <v>76491956</v>
      </c>
      <c r="G16">
        <v>111756725</v>
      </c>
      <c r="H16">
        <v>159087855</v>
      </c>
      <c r="I16">
        <v>353218600</v>
      </c>
      <c r="J16">
        <v>491121836</v>
      </c>
      <c r="K16">
        <v>534691819</v>
      </c>
      <c r="L16">
        <v>577848691</v>
      </c>
      <c r="M16">
        <v>634919491</v>
      </c>
      <c r="N16">
        <v>683406514</v>
      </c>
      <c r="O16">
        <v>723674412</v>
      </c>
      <c r="P16">
        <v>774009995</v>
      </c>
      <c r="Q16">
        <v>57283079</v>
      </c>
      <c r="R16">
        <v>103487744</v>
      </c>
      <c r="S16">
        <v>168952182</v>
      </c>
      <c r="T16">
        <v>236000953</v>
      </c>
      <c r="U16">
        <v>324415669</v>
      </c>
      <c r="V16">
        <v>452665432</v>
      </c>
      <c r="W16">
        <v>585777790</v>
      </c>
      <c r="X16">
        <v>645416412</v>
      </c>
      <c r="Y16" s="19">
        <v>687038860</v>
      </c>
      <c r="Z16" s="19">
        <v>736741430</v>
      </c>
      <c r="AA16" s="19">
        <v>796412687</v>
      </c>
      <c r="AB16" s="19">
        <v>847584046</v>
      </c>
      <c r="AC16" s="19">
        <v>46895817</v>
      </c>
      <c r="AD16">
        <v>102340745</v>
      </c>
      <c r="AE16">
        <v>156122359</v>
      </c>
      <c r="AF16">
        <v>233359448</v>
      </c>
    </row>
    <row r="17" spans="1:32" ht="13.5" hidden="1" customHeight="1">
      <c r="A17" t="s">
        <v>38</v>
      </c>
      <c r="B17" t="s">
        <v>51</v>
      </c>
      <c r="C17" t="str">
        <f t="shared" si="1"/>
        <v>F45</v>
      </c>
      <c r="D17" t="s">
        <v>149</v>
      </c>
      <c r="E17">
        <v>8582071</v>
      </c>
      <c r="F17">
        <v>21359939</v>
      </c>
      <c r="G17">
        <v>27534809</v>
      </c>
      <c r="H17">
        <v>36554461</v>
      </c>
      <c r="I17">
        <v>189230263</v>
      </c>
      <c r="J17">
        <v>288633302</v>
      </c>
      <c r="K17">
        <v>297357108</v>
      </c>
      <c r="L17">
        <v>301175356</v>
      </c>
      <c r="M17">
        <v>312144238</v>
      </c>
      <c r="N17">
        <v>320150258</v>
      </c>
      <c r="O17">
        <v>330450980</v>
      </c>
      <c r="P17">
        <v>342147276</v>
      </c>
      <c r="Q17">
        <v>7127960</v>
      </c>
      <c r="R17">
        <v>16122277</v>
      </c>
      <c r="S17">
        <v>49649720</v>
      </c>
      <c r="T17">
        <v>89784705</v>
      </c>
      <c r="U17">
        <v>133902074</v>
      </c>
      <c r="V17">
        <v>227146035</v>
      </c>
      <c r="W17">
        <v>307335539</v>
      </c>
      <c r="X17">
        <v>314000218</v>
      </c>
      <c r="Y17" s="19">
        <v>321558375</v>
      </c>
      <c r="Z17" s="19">
        <v>330397100</v>
      </c>
      <c r="AA17" s="19">
        <v>343738393</v>
      </c>
      <c r="AB17" s="19">
        <v>353444099</v>
      </c>
      <c r="AC17" s="19">
        <v>14596113</v>
      </c>
      <c r="AD17">
        <v>29940043</v>
      </c>
      <c r="AE17">
        <v>44925001</v>
      </c>
      <c r="AF17">
        <v>78197046</v>
      </c>
    </row>
    <row r="18" spans="1:32" ht="13.5" hidden="1" customHeight="1">
      <c r="A18" t="s">
        <v>39</v>
      </c>
      <c r="B18" t="s">
        <v>50</v>
      </c>
      <c r="C18" t="str">
        <f t="shared" si="1"/>
        <v>F50</v>
      </c>
      <c r="D18" t="s">
        <v>150</v>
      </c>
      <c r="E18">
        <v>12152003</v>
      </c>
      <c r="F18">
        <v>22638878</v>
      </c>
      <c r="G18">
        <v>35045977</v>
      </c>
      <c r="H18">
        <v>50095520</v>
      </c>
      <c r="I18">
        <v>62665220</v>
      </c>
      <c r="J18">
        <v>75487313</v>
      </c>
      <c r="K18">
        <v>91062604</v>
      </c>
      <c r="L18">
        <v>105769437</v>
      </c>
      <c r="M18">
        <v>119823076</v>
      </c>
      <c r="N18">
        <v>133913077</v>
      </c>
      <c r="O18">
        <v>147297862</v>
      </c>
      <c r="P18">
        <v>162030034</v>
      </c>
      <c r="Q18">
        <v>12354480</v>
      </c>
      <c r="R18">
        <v>24421442</v>
      </c>
      <c r="S18">
        <v>38764261</v>
      </c>
      <c r="T18">
        <v>55049462</v>
      </c>
      <c r="U18">
        <v>68141453</v>
      </c>
      <c r="V18">
        <v>82135860</v>
      </c>
      <c r="W18">
        <v>98498224</v>
      </c>
      <c r="X18">
        <v>115694064</v>
      </c>
      <c r="Y18" s="19">
        <v>131017995</v>
      </c>
      <c r="Z18" s="19">
        <v>146412548</v>
      </c>
      <c r="AA18" s="19">
        <v>162100230</v>
      </c>
      <c r="AB18" s="19">
        <v>175795569</v>
      </c>
      <c r="AC18" s="19">
        <v>13999089</v>
      </c>
      <c r="AD18">
        <v>30198670</v>
      </c>
      <c r="AE18">
        <v>48820339</v>
      </c>
      <c r="AF18">
        <v>68900637</v>
      </c>
    </row>
    <row r="19" spans="1:32" ht="13.5" hidden="1" customHeight="1">
      <c r="A19" t="s">
        <v>41</v>
      </c>
      <c r="B19" t="s">
        <v>49</v>
      </c>
      <c r="C19" t="str">
        <f t="shared" si="1"/>
        <v>F57</v>
      </c>
      <c r="D19" t="s">
        <v>151</v>
      </c>
      <c r="E19">
        <v>2809928</v>
      </c>
      <c r="F19">
        <v>5154492</v>
      </c>
      <c r="G19">
        <v>8823727</v>
      </c>
      <c r="H19">
        <v>14173509</v>
      </c>
      <c r="I19">
        <v>16849134</v>
      </c>
      <c r="J19">
        <v>19562213</v>
      </c>
      <c r="K19">
        <v>23141129</v>
      </c>
      <c r="L19">
        <v>27294901</v>
      </c>
      <c r="M19">
        <v>31504137</v>
      </c>
      <c r="N19">
        <v>35186619</v>
      </c>
      <c r="O19">
        <v>38357754</v>
      </c>
      <c r="P19">
        <v>41770923</v>
      </c>
      <c r="Q19">
        <v>2762049</v>
      </c>
      <c r="R19">
        <v>5526876</v>
      </c>
      <c r="S19">
        <v>9098011</v>
      </c>
      <c r="T19">
        <v>12051612</v>
      </c>
      <c r="U19">
        <v>18549694</v>
      </c>
      <c r="V19">
        <v>22042076</v>
      </c>
      <c r="W19">
        <v>25426190</v>
      </c>
      <c r="X19">
        <v>36995284</v>
      </c>
      <c r="Y19" s="19">
        <v>40733105</v>
      </c>
      <c r="Z19" s="19">
        <v>44158456</v>
      </c>
      <c r="AA19" s="19">
        <v>47985680</v>
      </c>
      <c r="AB19" s="19">
        <v>50600745</v>
      </c>
      <c r="AC19" s="19">
        <v>2780025</v>
      </c>
      <c r="AD19">
        <v>5559994</v>
      </c>
      <c r="AE19">
        <v>9238630</v>
      </c>
      <c r="AF19">
        <v>12094542</v>
      </c>
    </row>
    <row r="20" spans="1:32" ht="13.5" hidden="1" customHeight="1">
      <c r="A20" t="s">
        <v>25</v>
      </c>
      <c r="B20" t="s">
        <v>48</v>
      </c>
      <c r="C20" t="str">
        <f t="shared" si="1"/>
        <v>F61</v>
      </c>
      <c r="D20" t="s">
        <v>152</v>
      </c>
      <c r="E20">
        <v>1460597</v>
      </c>
      <c r="F20">
        <v>9565706</v>
      </c>
      <c r="G20">
        <v>12689671</v>
      </c>
      <c r="H20">
        <v>18124761</v>
      </c>
      <c r="I20">
        <v>29429092</v>
      </c>
      <c r="J20">
        <v>37261400</v>
      </c>
      <c r="K20">
        <v>45132956</v>
      </c>
      <c r="L20">
        <v>53192814</v>
      </c>
      <c r="M20">
        <v>70367225</v>
      </c>
      <c r="N20">
        <v>82902295</v>
      </c>
      <c r="O20">
        <v>84348555</v>
      </c>
      <c r="P20">
        <v>94300367</v>
      </c>
      <c r="Q20">
        <v>2280968</v>
      </c>
      <c r="R20">
        <v>15564564</v>
      </c>
      <c r="S20">
        <v>23313497</v>
      </c>
      <c r="T20">
        <v>25564379</v>
      </c>
      <c r="U20">
        <v>38070368</v>
      </c>
      <c r="V20">
        <v>46502697</v>
      </c>
      <c r="W20">
        <v>70581854</v>
      </c>
      <c r="X20">
        <v>74063460</v>
      </c>
      <c r="Y20" s="19">
        <v>78671767</v>
      </c>
      <c r="Z20" s="19">
        <v>88582874</v>
      </c>
      <c r="AA20" s="19">
        <v>94812960</v>
      </c>
      <c r="AB20" s="19">
        <v>105798854</v>
      </c>
      <c r="AC20" s="19">
        <v>5801317</v>
      </c>
      <c r="AD20">
        <v>12067632</v>
      </c>
      <c r="AE20">
        <v>17474049</v>
      </c>
      <c r="AF20">
        <v>30816562</v>
      </c>
    </row>
    <row r="21" spans="1:32" ht="13.5" hidden="1" customHeight="1">
      <c r="A21" t="s">
        <v>42</v>
      </c>
      <c r="B21" t="s">
        <v>47</v>
      </c>
      <c r="C21" t="str">
        <f t="shared" si="1"/>
        <v>F65</v>
      </c>
      <c r="D21" t="s">
        <v>153</v>
      </c>
      <c r="E21">
        <v>3494489</v>
      </c>
      <c r="F21">
        <v>8520724</v>
      </c>
      <c r="G21">
        <v>15379371</v>
      </c>
      <c r="H21">
        <v>22770791</v>
      </c>
      <c r="I21">
        <v>28971642</v>
      </c>
      <c r="J21">
        <v>39652601</v>
      </c>
      <c r="K21">
        <v>41773950</v>
      </c>
      <c r="L21">
        <v>45745190</v>
      </c>
      <c r="M21">
        <v>50277905</v>
      </c>
      <c r="N21">
        <v>54120817</v>
      </c>
      <c r="O21">
        <v>57330347</v>
      </c>
      <c r="P21">
        <v>61837612</v>
      </c>
      <c r="Q21">
        <v>3374621</v>
      </c>
      <c r="R21">
        <v>6182649</v>
      </c>
      <c r="S21">
        <v>9544866</v>
      </c>
      <c r="T21">
        <v>12933189</v>
      </c>
      <c r="U21">
        <v>17421049</v>
      </c>
      <c r="V21">
        <v>22290405</v>
      </c>
      <c r="W21">
        <v>26182081</v>
      </c>
      <c r="X21">
        <v>35989248</v>
      </c>
      <c r="Y21" s="19">
        <v>41813345</v>
      </c>
      <c r="Z21" s="19">
        <v>48415997</v>
      </c>
      <c r="AA21" s="19">
        <v>57237051</v>
      </c>
      <c r="AB21" s="19">
        <v>65135086</v>
      </c>
      <c r="AC21" s="19">
        <v>4999798</v>
      </c>
      <c r="AD21">
        <v>10176298</v>
      </c>
      <c r="AE21">
        <v>16653035</v>
      </c>
      <c r="AF21">
        <v>21207809</v>
      </c>
    </row>
    <row r="22" spans="1:32" ht="13.5" hidden="1" customHeight="1">
      <c r="A22" t="s">
        <v>43</v>
      </c>
      <c r="B22" t="s">
        <v>46</v>
      </c>
      <c r="C22" t="str">
        <f t="shared" si="1"/>
        <v>F70</v>
      </c>
      <c r="D22" t="s">
        <v>154</v>
      </c>
      <c r="E22">
        <v>2868578</v>
      </c>
      <c r="F22">
        <v>9247258</v>
      </c>
      <c r="G22">
        <v>12275262</v>
      </c>
      <c r="H22">
        <v>17362773</v>
      </c>
      <c r="I22">
        <v>26069925</v>
      </c>
      <c r="J22">
        <v>30518749</v>
      </c>
      <c r="K22">
        <v>36222806</v>
      </c>
      <c r="L22">
        <v>44669100</v>
      </c>
      <c r="M22">
        <v>50801568</v>
      </c>
      <c r="N22">
        <v>57130816</v>
      </c>
      <c r="O22">
        <v>65886835</v>
      </c>
      <c r="P22">
        <v>71922135</v>
      </c>
      <c r="Q22">
        <v>29381548</v>
      </c>
      <c r="R22">
        <v>35669457</v>
      </c>
      <c r="S22">
        <v>38581827</v>
      </c>
      <c r="T22">
        <v>40617606</v>
      </c>
      <c r="U22">
        <v>48331031</v>
      </c>
      <c r="V22">
        <v>52548121</v>
      </c>
      <c r="W22">
        <v>57753902</v>
      </c>
      <c r="X22">
        <v>68674138</v>
      </c>
      <c r="Y22" s="19">
        <v>73244273</v>
      </c>
      <c r="Z22" s="19">
        <v>78774026</v>
      </c>
      <c r="AA22" s="19">
        <v>90538253</v>
      </c>
      <c r="AB22" s="19">
        <v>96809693</v>
      </c>
      <c r="AC22" s="19">
        <v>4719355</v>
      </c>
      <c r="AD22">
        <v>14397840</v>
      </c>
      <c r="AE22">
        <v>19011305</v>
      </c>
      <c r="AF22">
        <v>22142852</v>
      </c>
    </row>
    <row r="23" spans="1:32" ht="13.5" hidden="1" customHeight="1">
      <c r="A23" t="s">
        <v>44</v>
      </c>
      <c r="B23" t="s">
        <v>45</v>
      </c>
      <c r="C23" t="str">
        <f t="shared" si="1"/>
        <v>F71</v>
      </c>
      <c r="D23" t="s">
        <v>155</v>
      </c>
      <c r="E23">
        <v>3222</v>
      </c>
      <c r="F23">
        <v>4959</v>
      </c>
      <c r="G23">
        <v>7908</v>
      </c>
      <c r="H23">
        <v>6040</v>
      </c>
      <c r="I23">
        <v>3324</v>
      </c>
      <c r="J23">
        <v>6258</v>
      </c>
      <c r="K23">
        <v>1266</v>
      </c>
      <c r="L23">
        <v>1893</v>
      </c>
      <c r="M23">
        <v>1342</v>
      </c>
      <c r="N23">
        <v>2632</v>
      </c>
      <c r="O23">
        <v>2079</v>
      </c>
      <c r="P23">
        <v>1648</v>
      </c>
      <c r="Q23">
        <v>1453</v>
      </c>
      <c r="R23">
        <v>479</v>
      </c>
      <c r="S23">
        <v>0</v>
      </c>
      <c r="T23">
        <v>0</v>
      </c>
      <c r="U23">
        <v>0</v>
      </c>
      <c r="V23">
        <v>238</v>
      </c>
      <c r="W23">
        <v>0</v>
      </c>
      <c r="X23">
        <v>0</v>
      </c>
      <c r="Y23" s="19">
        <v>0</v>
      </c>
      <c r="Z23" s="19">
        <v>429</v>
      </c>
      <c r="AA23" s="19">
        <v>120</v>
      </c>
      <c r="AB23" s="19">
        <v>0</v>
      </c>
      <c r="AC23" s="19">
        <v>120</v>
      </c>
      <c r="AD23">
        <v>268</v>
      </c>
      <c r="AE23">
        <v>0</v>
      </c>
      <c r="AF23">
        <v>0</v>
      </c>
    </row>
    <row r="24" spans="1:32" ht="13.5" hidden="1" customHeight="1"/>
    <row r="25" spans="1:32" ht="13.5" hidden="1" customHeight="1">
      <c r="D25" t="s">
        <v>92</v>
      </c>
    </row>
    <row r="26" spans="1:32" ht="13.5" hidden="1" customHeight="1"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32" ht="13.5" hidden="1" customHeight="1">
      <c r="D27" t="s">
        <v>84</v>
      </c>
      <c r="E27" s="10">
        <f>444311585/1000000/0.25</f>
        <v>1777.2463399999999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v>1861.97</v>
      </c>
      <c r="R27" s="10"/>
      <c r="S27" s="10"/>
      <c r="AC27" s="10">
        <v>2344</v>
      </c>
    </row>
    <row r="28" spans="1:32" ht="13.5" hidden="1" customHeight="1">
      <c r="D28" t="s">
        <v>28</v>
      </c>
      <c r="E28" s="10">
        <f>263923563/1000000</f>
        <v>263.923563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v>316.39999999999998</v>
      </c>
      <c r="R28" s="10"/>
      <c r="S28" s="10"/>
      <c r="AC28" s="10">
        <v>402</v>
      </c>
    </row>
    <row r="29" spans="1:32" ht="13.5" hidden="1" customHeight="1">
      <c r="D29" t="s">
        <v>85</v>
      </c>
      <c r="E29" s="10">
        <f>(97739681+2840359424)/1000000</f>
        <v>2938.0991049999998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v>3246.0940300000002</v>
      </c>
      <c r="R29" s="10"/>
      <c r="S29" s="10"/>
      <c r="AC29" s="10">
        <v>3975.5206589999989</v>
      </c>
    </row>
    <row r="30" spans="1:32" ht="13.5" hidden="1" customHeight="1">
      <c r="D30" t="s">
        <v>24</v>
      </c>
      <c r="E30" s="10">
        <f>2735617430/1000000</f>
        <v>2735.6174299999998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>
        <v>3076.9729509999997</v>
      </c>
      <c r="R30" s="10"/>
      <c r="S30" s="10"/>
      <c r="AC30" s="10">
        <v>3786.2339999999999</v>
      </c>
    </row>
    <row r="31" spans="1:32" ht="13.5" hidden="1" customHeight="1">
      <c r="D31" t="s">
        <v>33</v>
      </c>
      <c r="E31" s="10">
        <f>1116019000/1000000</f>
        <v>1116.019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v>1166.7999999999997</v>
      </c>
      <c r="R31" s="10"/>
      <c r="S31" s="10"/>
      <c r="AC31" s="10">
        <v>1187.7000000000003</v>
      </c>
    </row>
    <row r="32" spans="1:32" ht="13.5" hidden="1" customHeight="1"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4:34" ht="13.5" hidden="1" customHeight="1">
      <c r="D33" t="s">
        <v>86</v>
      </c>
      <c r="E33" s="10">
        <f ca="1">COUNTIF(Ikmēneša!D6:D17,"&gt;0")</f>
        <v>4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4:34" ht="13.5" hidden="1" customHeight="1"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4:34" ht="13.5" hidden="1" customHeight="1">
      <c r="D35" t="s">
        <v>121</v>
      </c>
      <c r="E35" s="10">
        <v>2021</v>
      </c>
      <c r="F35" s="10">
        <v>2022</v>
      </c>
      <c r="G35" s="10">
        <v>2023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4:34" ht="13.5" hidden="1" customHeight="1">
      <c r="E36" s="78">
        <v>33587.578999999998</v>
      </c>
      <c r="F36" s="78">
        <v>39080.733</v>
      </c>
      <c r="G36" s="78">
        <v>43637.185087816455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4:34" ht="13.5" customHeight="1"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9" spans="4:34" ht="13.5" customHeight="1">
      <c r="D39" t="str">
        <f>D1</f>
        <v>Nodokļu un nenodokļu ieņēmumi pa veidiem</v>
      </c>
    </row>
    <row r="40" spans="4:34" ht="13.5" customHeight="1">
      <c r="D40" s="7" t="s">
        <v>22</v>
      </c>
    </row>
    <row r="41" spans="4:34" ht="13.5" customHeight="1">
      <c r="E41" s="8">
        <f t="shared" ref="E41:AG41" si="2">E3</f>
        <v>44197</v>
      </c>
      <c r="F41" s="8">
        <f t="shared" si="2"/>
        <v>44228</v>
      </c>
      <c r="G41" s="8">
        <f t="shared" si="2"/>
        <v>44256</v>
      </c>
      <c r="H41" s="8">
        <f t="shared" si="2"/>
        <v>44287</v>
      </c>
      <c r="I41" s="8">
        <f t="shared" si="2"/>
        <v>44317</v>
      </c>
      <c r="J41" s="8">
        <f t="shared" si="2"/>
        <v>44348</v>
      </c>
      <c r="K41" s="8">
        <f t="shared" si="2"/>
        <v>44378</v>
      </c>
      <c r="L41" s="8">
        <f t="shared" si="2"/>
        <v>44409</v>
      </c>
      <c r="M41" s="8">
        <f t="shared" si="2"/>
        <v>44440</v>
      </c>
      <c r="N41" s="8">
        <f t="shared" si="2"/>
        <v>44470</v>
      </c>
      <c r="O41" s="8">
        <f t="shared" si="2"/>
        <v>44501</v>
      </c>
      <c r="P41" s="8">
        <f t="shared" si="2"/>
        <v>44531</v>
      </c>
      <c r="Q41" s="8">
        <f t="shared" si="2"/>
        <v>44562</v>
      </c>
      <c r="R41" s="8">
        <f t="shared" si="2"/>
        <v>44593</v>
      </c>
      <c r="S41" s="8">
        <f t="shared" si="2"/>
        <v>44621</v>
      </c>
      <c r="T41" s="8">
        <f t="shared" si="2"/>
        <v>44652</v>
      </c>
      <c r="U41" s="8">
        <f t="shared" si="2"/>
        <v>44682</v>
      </c>
      <c r="V41" s="8">
        <f t="shared" si="2"/>
        <v>44713</v>
      </c>
      <c r="W41" s="8">
        <f t="shared" si="2"/>
        <v>44743</v>
      </c>
      <c r="X41" s="8">
        <f t="shared" si="2"/>
        <v>44774</v>
      </c>
      <c r="Y41" s="8">
        <f t="shared" si="2"/>
        <v>44805</v>
      </c>
      <c r="Z41" s="8">
        <f t="shared" si="2"/>
        <v>44835</v>
      </c>
      <c r="AA41" s="8">
        <f t="shared" si="2"/>
        <v>44866</v>
      </c>
      <c r="AB41" s="8">
        <f t="shared" si="2"/>
        <v>44896</v>
      </c>
      <c r="AC41" s="8">
        <f t="shared" si="2"/>
        <v>44927</v>
      </c>
      <c r="AD41" s="8">
        <f t="shared" si="2"/>
        <v>44958</v>
      </c>
      <c r="AE41" s="8">
        <f t="shared" si="2"/>
        <v>44986</v>
      </c>
      <c r="AF41" s="8">
        <f t="shared" si="2"/>
        <v>45017</v>
      </c>
      <c r="AG41" s="8">
        <f t="shared" si="2"/>
        <v>45047</v>
      </c>
      <c r="AH41" s="18"/>
    </row>
    <row r="42" spans="4:34" ht="13.5" customHeight="1">
      <c r="D42" t="str">
        <f t="shared" ref="D42:D61" si="3">D4</f>
        <v>1.0 Nodokļu ieņēmumi</v>
      </c>
      <c r="E42" s="9">
        <f t="shared" ref="E42:N42" si="4">E4/1000000</f>
        <v>782.98600099999999</v>
      </c>
      <c r="F42" s="9">
        <f t="shared" si="4"/>
        <v>1517.838066</v>
      </c>
      <c r="G42" s="9">
        <f t="shared" si="4"/>
        <v>2155.7295760000002</v>
      </c>
      <c r="H42" s="9">
        <f t="shared" si="4"/>
        <v>3020.079913</v>
      </c>
      <c r="I42" s="9">
        <f t="shared" si="4"/>
        <v>3870.3329910000002</v>
      </c>
      <c r="J42" s="9">
        <f t="shared" si="4"/>
        <v>4639.071379</v>
      </c>
      <c r="K42" s="9">
        <f t="shared" si="4"/>
        <v>5561.333635</v>
      </c>
      <c r="L42" s="9">
        <f t="shared" si="4"/>
        <v>6463.0078190000004</v>
      </c>
      <c r="M42" s="9">
        <f t="shared" si="4"/>
        <v>7315.7334049999999</v>
      </c>
      <c r="N42" s="9">
        <f t="shared" si="4"/>
        <v>8211.6070110000001</v>
      </c>
      <c r="O42" s="9">
        <f t="shared" ref="O42:P42" si="5">O4/1000000</f>
        <v>9068.0681089999998</v>
      </c>
      <c r="P42" s="9">
        <f t="shared" si="5"/>
        <v>10031.004143</v>
      </c>
      <c r="Q42" s="9">
        <f t="shared" ref="Q42:R42" si="6">Q4/1000000</f>
        <v>941.79193599999996</v>
      </c>
      <c r="R42" s="9">
        <f t="shared" si="6"/>
        <v>1812.606925</v>
      </c>
      <c r="S42" s="9">
        <f t="shared" ref="S42:T42" si="7">S4/1000000</f>
        <v>2581.6616100000001</v>
      </c>
      <c r="T42" s="9">
        <f t="shared" si="7"/>
        <v>3539.4967620000002</v>
      </c>
      <c r="U42" s="9">
        <f t="shared" ref="U42:V42" si="8">U4/1000000</f>
        <v>4518.1753209999997</v>
      </c>
      <c r="V42" s="9">
        <f t="shared" si="8"/>
        <v>5407.0915539999996</v>
      </c>
      <c r="W42" s="9">
        <f>W4/1000000</f>
        <v>6434.5484420000003</v>
      </c>
      <c r="X42" s="9">
        <f>X4/1000000</f>
        <v>7404.5425230000001</v>
      </c>
      <c r="Y42" s="9">
        <f t="shared" ref="Y42:AG42" si="9">Y4/1000000</f>
        <v>8389.978427</v>
      </c>
      <c r="Z42" s="9">
        <f t="shared" si="9"/>
        <v>9411.6409409999997</v>
      </c>
      <c r="AA42" s="9">
        <f t="shared" si="9"/>
        <v>10449.868614999999</v>
      </c>
      <c r="AB42" s="9">
        <f t="shared" si="9"/>
        <v>11557.277694</v>
      </c>
      <c r="AC42" s="9">
        <f t="shared" si="9"/>
        <v>1077.162761</v>
      </c>
      <c r="AD42" s="9">
        <f t="shared" si="9"/>
        <v>2060.6670049999998</v>
      </c>
      <c r="AE42" s="9">
        <f t="shared" si="9"/>
        <v>2899.1131949999999</v>
      </c>
      <c r="AF42" s="9">
        <f t="shared" si="9"/>
        <v>3962.980196</v>
      </c>
      <c r="AG42" s="9">
        <f t="shared" si="9"/>
        <v>0</v>
      </c>
      <c r="AH42" s="9"/>
    </row>
    <row r="43" spans="4:34" ht="13.5" customHeight="1">
      <c r="D43" t="str">
        <f t="shared" si="3"/>
        <v>1.1 Ieņēmumi no iedzīvotāju ienākuma nodokļa un solidaritātes nodokļa</v>
      </c>
      <c r="E43" s="9">
        <f t="shared" ref="E43:N43" si="10">E5/1000000</f>
        <v>150.693296</v>
      </c>
      <c r="F43" s="9">
        <f t="shared" si="10"/>
        <v>304.25639100000001</v>
      </c>
      <c r="G43" s="9">
        <f t="shared" si="10"/>
        <v>349.91713299999998</v>
      </c>
      <c r="H43" s="9">
        <f t="shared" si="10"/>
        <v>478.26165300000002</v>
      </c>
      <c r="I43" s="9">
        <f t="shared" si="10"/>
        <v>606.81784400000004</v>
      </c>
      <c r="J43" s="9">
        <f t="shared" si="10"/>
        <v>741.80396499999995</v>
      </c>
      <c r="K43" s="9">
        <f t="shared" si="10"/>
        <v>930.05649800000003</v>
      </c>
      <c r="L43" s="9">
        <f t="shared" si="10"/>
        <v>1100.5613579999999</v>
      </c>
      <c r="M43" s="9">
        <f t="shared" si="10"/>
        <v>1269.2029660000001</v>
      </c>
      <c r="N43" s="9">
        <f t="shared" si="10"/>
        <v>1538.7781150000001</v>
      </c>
      <c r="O43" s="9">
        <f t="shared" ref="O43:P43" si="11">O5/1000000</f>
        <v>1706.412235</v>
      </c>
      <c r="P43" s="9">
        <f t="shared" si="11"/>
        <v>1927.2768040000001</v>
      </c>
      <c r="Q43" s="9">
        <f t="shared" ref="Q43:R43" si="12">Q5/1000000</f>
        <v>230.248965</v>
      </c>
      <c r="R43" s="9">
        <f t="shared" si="12"/>
        <v>414.807861</v>
      </c>
      <c r="S43" s="9">
        <f t="shared" ref="S43:T43" si="13">S5/1000000</f>
        <v>479.81007199999999</v>
      </c>
      <c r="T43" s="9">
        <f t="shared" si="13"/>
        <v>645.11704499999996</v>
      </c>
      <c r="U43" s="9">
        <f t="shared" ref="U43:V43" si="14">U5/1000000</f>
        <v>820.36049200000002</v>
      </c>
      <c r="V43" s="9">
        <f t="shared" si="14"/>
        <v>1013.832151</v>
      </c>
      <c r="W43" s="9">
        <f t="shared" ref="W43:AG43" si="15">W5/1000000</f>
        <v>1234.795738</v>
      </c>
      <c r="X43" s="9">
        <f t="shared" ref="X43" si="16">X5/1000000</f>
        <v>1436.81305</v>
      </c>
      <c r="Y43" s="9">
        <f t="shared" si="15"/>
        <v>1645.202957</v>
      </c>
      <c r="Z43" s="9">
        <f t="shared" si="15"/>
        <v>1862.2937690000001</v>
      </c>
      <c r="AA43" s="9">
        <f t="shared" si="15"/>
        <v>2062.5792339999998</v>
      </c>
      <c r="AB43" s="9">
        <f t="shared" si="15"/>
        <v>2262.4769980000001</v>
      </c>
      <c r="AC43" s="9">
        <f t="shared" si="15"/>
        <v>239.533996</v>
      </c>
      <c r="AD43" s="9">
        <f t="shared" si="15"/>
        <v>443.47898800000002</v>
      </c>
      <c r="AE43" s="9">
        <f t="shared" si="15"/>
        <v>512.689302</v>
      </c>
      <c r="AF43" s="9">
        <f t="shared" si="15"/>
        <v>689.63680899999997</v>
      </c>
      <c r="AG43" s="9">
        <f t="shared" si="15"/>
        <v>0</v>
      </c>
      <c r="AH43" s="9"/>
    </row>
    <row r="44" spans="4:34" ht="13.5" customHeight="1">
      <c r="D44" t="str">
        <f t="shared" si="3"/>
        <v>1.2 Ieņēmumi no uzņēmumu ienākuma nodokļa</v>
      </c>
      <c r="E44" s="9">
        <f t="shared" ref="E44:N44" si="17">E6/1000000</f>
        <v>21.150621999999998</v>
      </c>
      <c r="F44" s="9">
        <f t="shared" si="17"/>
        <v>29.341221000000001</v>
      </c>
      <c r="G44" s="9">
        <f t="shared" si="17"/>
        <v>44.894486999999998</v>
      </c>
      <c r="H44" s="9">
        <f t="shared" si="17"/>
        <v>92.441084000000004</v>
      </c>
      <c r="I44" s="9">
        <f t="shared" si="17"/>
        <v>129.25693799999999</v>
      </c>
      <c r="J44" s="9">
        <f t="shared" si="17"/>
        <v>170.516356</v>
      </c>
      <c r="K44" s="9">
        <f t="shared" si="17"/>
        <v>197.19371100000001</v>
      </c>
      <c r="L44" s="9">
        <f t="shared" si="17"/>
        <v>223.27400700000001</v>
      </c>
      <c r="M44" s="9">
        <f t="shared" si="17"/>
        <v>237.78690499999999</v>
      </c>
      <c r="N44" s="9">
        <f t="shared" si="17"/>
        <v>261.171494</v>
      </c>
      <c r="O44" s="9">
        <f t="shared" ref="O44:P44" si="18">O6/1000000</f>
        <v>289.92271499999998</v>
      </c>
      <c r="P44" s="9">
        <f t="shared" si="18"/>
        <v>281.079384</v>
      </c>
      <c r="Q44" s="9">
        <f t="shared" ref="Q44:R44" si="19">Q6/1000000</f>
        <v>36.645933999999997</v>
      </c>
      <c r="R44" s="9">
        <f t="shared" si="19"/>
        <v>65.453490000000002</v>
      </c>
      <c r="S44" s="9">
        <f t="shared" ref="S44:T44" si="20">S6/1000000</f>
        <v>84.329571999999999</v>
      </c>
      <c r="T44" s="9">
        <f t="shared" si="20"/>
        <v>118.77217</v>
      </c>
      <c r="U44" s="9">
        <f t="shared" ref="U44:V44" si="21">U6/1000000</f>
        <v>168.239634</v>
      </c>
      <c r="V44" s="9">
        <f t="shared" si="21"/>
        <v>212.50274899999999</v>
      </c>
      <c r="W44" s="9">
        <f t="shared" ref="W44:AG44" si="22">W6/1000000</f>
        <v>240.362866</v>
      </c>
      <c r="X44" s="9">
        <f t="shared" ref="X44" si="23">X6/1000000</f>
        <v>271.60386499999998</v>
      </c>
      <c r="Y44" s="9">
        <f t="shared" si="22"/>
        <v>296.77290599999998</v>
      </c>
      <c r="Z44" s="9">
        <f t="shared" si="22"/>
        <v>326.11881699999998</v>
      </c>
      <c r="AA44" s="9">
        <f t="shared" si="22"/>
        <v>350.37795299999999</v>
      </c>
      <c r="AB44" s="9">
        <f t="shared" si="22"/>
        <v>378.75044600000001</v>
      </c>
      <c r="AC44" s="9">
        <f t="shared" si="22"/>
        <v>61.791103</v>
      </c>
      <c r="AD44" s="9">
        <f t="shared" si="22"/>
        <v>81.114180000000005</v>
      </c>
      <c r="AE44" s="9">
        <f t="shared" si="22"/>
        <v>112.121906</v>
      </c>
      <c r="AF44" s="9">
        <f t="shared" si="22"/>
        <v>159.99788799999999</v>
      </c>
      <c r="AG44" s="9">
        <f t="shared" si="22"/>
        <v>0</v>
      </c>
      <c r="AH44" s="9"/>
    </row>
    <row r="45" spans="4:34" ht="13.5" customHeight="1">
      <c r="D45" t="str">
        <f t="shared" si="3"/>
        <v>1.3 Sociālās apdrošināšanas iemaksas</v>
      </c>
      <c r="E45" s="9">
        <f t="shared" ref="E45:N45" si="24">E7/1000000</f>
        <v>164.800017</v>
      </c>
      <c r="F45" s="9">
        <f t="shared" si="24"/>
        <v>382.891032</v>
      </c>
      <c r="G45" s="9">
        <f t="shared" si="24"/>
        <v>603.84105499999998</v>
      </c>
      <c r="H45" s="9">
        <f t="shared" si="24"/>
        <v>859.09830399999998</v>
      </c>
      <c r="I45" s="9">
        <f t="shared" si="24"/>
        <v>1113.4244140000001</v>
      </c>
      <c r="J45" s="9">
        <f t="shared" si="24"/>
        <v>1366.50747</v>
      </c>
      <c r="K45" s="9">
        <f t="shared" si="24"/>
        <v>1651.0167329999999</v>
      </c>
      <c r="L45" s="9">
        <f t="shared" si="24"/>
        <v>1930.5016419999999</v>
      </c>
      <c r="M45" s="9">
        <f t="shared" si="24"/>
        <v>2204.40164</v>
      </c>
      <c r="N45" s="9">
        <f t="shared" si="24"/>
        <v>2468.1658750000001</v>
      </c>
      <c r="O45" s="9">
        <f t="shared" ref="O45:P45" si="25">O7/1000000</f>
        <v>2706.8330190000001</v>
      </c>
      <c r="P45" s="9">
        <f t="shared" si="25"/>
        <v>3121.0655360000001</v>
      </c>
      <c r="Q45" s="9">
        <f t="shared" ref="Q45:R45" si="26">Q7/1000000</f>
        <v>333.47692799999999</v>
      </c>
      <c r="R45" s="9">
        <f t="shared" si="26"/>
        <v>605.95433600000001</v>
      </c>
      <c r="S45" s="9">
        <f t="shared" ref="S45:T45" si="27">S7/1000000</f>
        <v>883.04834900000003</v>
      </c>
      <c r="T45" s="9">
        <f t="shared" si="27"/>
        <v>1178.6191940000001</v>
      </c>
      <c r="U45" s="9">
        <f t="shared" ref="U45:V45" si="28">U7/1000000</f>
        <v>1492.4650799999999</v>
      </c>
      <c r="V45" s="9">
        <f t="shared" si="28"/>
        <v>1811.446412</v>
      </c>
      <c r="W45" s="9">
        <f t="shared" ref="W45:AG45" si="29">W7/1000000</f>
        <v>2119.686796</v>
      </c>
      <c r="X45" s="9">
        <f t="shared" ref="X45" si="30">X7/1000000</f>
        <v>2423.5306059999998</v>
      </c>
      <c r="Y45" s="9">
        <f t="shared" si="29"/>
        <v>2747.916952</v>
      </c>
      <c r="Z45" s="9">
        <f t="shared" si="29"/>
        <v>3083.1232850000001</v>
      </c>
      <c r="AA45" s="9">
        <f t="shared" si="29"/>
        <v>3385.0533519999999</v>
      </c>
      <c r="AB45" s="9">
        <f t="shared" si="29"/>
        <v>3667.2161449999999</v>
      </c>
      <c r="AC45" s="9">
        <f t="shared" si="29"/>
        <v>371.69686000000002</v>
      </c>
      <c r="AD45" s="9">
        <f t="shared" si="29"/>
        <v>676.35620900000004</v>
      </c>
      <c r="AE45" s="9">
        <f t="shared" si="29"/>
        <v>928.00547099999994</v>
      </c>
      <c r="AF45" s="9">
        <f t="shared" si="29"/>
        <v>1272.9111780000001</v>
      </c>
      <c r="AG45" s="9">
        <f t="shared" si="29"/>
        <v>0</v>
      </c>
      <c r="AH45" s="9"/>
    </row>
    <row r="46" spans="4:34" ht="13.5" customHeight="1">
      <c r="D46" t="str">
        <f t="shared" si="3"/>
        <v>3.0.0.0 Ieņēmumi, kas iemaksāti vienotajā nodokļu kontā</v>
      </c>
      <c r="E46" s="9">
        <f t="shared" ref="E46:N46" si="31">E8/1000000</f>
        <v>108.444799</v>
      </c>
      <c r="F46" s="9">
        <f t="shared" si="31"/>
        <v>124.455696</v>
      </c>
      <c r="G46" s="9">
        <f t="shared" si="31"/>
        <v>171.109036</v>
      </c>
      <c r="H46" s="9">
        <f t="shared" si="31"/>
        <v>228.39417800000001</v>
      </c>
      <c r="I46" s="9">
        <f t="shared" si="31"/>
        <v>302.43912499999999</v>
      </c>
      <c r="J46" s="9">
        <f t="shared" si="31"/>
        <v>264.41714200000001</v>
      </c>
      <c r="K46" s="9">
        <f t="shared" si="31"/>
        <v>271.28411299999999</v>
      </c>
      <c r="L46" s="9">
        <f t="shared" si="31"/>
        <v>275.44890299999997</v>
      </c>
      <c r="M46" s="9">
        <f t="shared" si="31"/>
        <v>290.62356999999997</v>
      </c>
      <c r="N46" s="9">
        <f t="shared" si="31"/>
        <v>212.56162699999999</v>
      </c>
      <c r="O46" s="9">
        <f t="shared" ref="O46:P46" si="32">O8/1000000</f>
        <v>256.48104799999999</v>
      </c>
      <c r="P46" s="9">
        <f t="shared" si="32"/>
        <v>346.03446200000002</v>
      </c>
      <c r="Q46" s="9">
        <f t="shared" ref="Q46:R46" si="33">Q8/1000000</f>
        <v>-100.505827</v>
      </c>
      <c r="R46" s="9">
        <f t="shared" si="33"/>
        <v>-100.411264</v>
      </c>
      <c r="S46" s="9">
        <f t="shared" ref="S46:T46" si="34">S8/1000000</f>
        <v>-61.376024999999998</v>
      </c>
      <c r="T46" s="9">
        <f t="shared" si="34"/>
        <v>-56.576597999999997</v>
      </c>
      <c r="U46" s="9">
        <f t="shared" ref="U46:V46" si="35">U8/1000000</f>
        <v>3.1946859999999999</v>
      </c>
      <c r="V46" s="9">
        <f t="shared" si="35"/>
        <v>-103.79105199999999</v>
      </c>
      <c r="W46" s="9">
        <f t="shared" ref="W46:AG46" si="36">W8/1000000</f>
        <v>-93.668868000000003</v>
      </c>
      <c r="X46" s="9">
        <f t="shared" ref="X46" si="37">X8/1000000</f>
        <v>-116.406907</v>
      </c>
      <c r="Y46" s="9">
        <f t="shared" si="36"/>
        <v>-100.194211</v>
      </c>
      <c r="Z46" s="9">
        <f t="shared" si="36"/>
        <v>-127.125536</v>
      </c>
      <c r="AA46" s="9">
        <f t="shared" si="36"/>
        <v>-121.98609</v>
      </c>
      <c r="AB46" s="9">
        <f t="shared" si="36"/>
        <v>17.856287999999999</v>
      </c>
      <c r="AC46" s="9">
        <f t="shared" si="36"/>
        <v>-129.655012</v>
      </c>
      <c r="AD46" s="9">
        <f t="shared" si="36"/>
        <v>-123.223229</v>
      </c>
      <c r="AE46" s="9">
        <f t="shared" si="36"/>
        <v>-135.14744099999999</v>
      </c>
      <c r="AF46" s="9">
        <f t="shared" si="36"/>
        <v>-116.876411</v>
      </c>
      <c r="AG46" s="9">
        <f t="shared" si="36"/>
        <v>0</v>
      </c>
      <c r="AH46" s="9"/>
    </row>
    <row r="47" spans="4:34" ht="13.5" customHeight="1">
      <c r="D47" t="str">
        <f t="shared" si="3"/>
        <v>1.4 Nekustamā īpašuma nodoklis</v>
      </c>
      <c r="E47" s="9">
        <f t="shared" ref="E47:N47" si="38">E9/1000000</f>
        <v>6.1581289999999997</v>
      </c>
      <c r="F47" s="9">
        <f t="shared" si="38"/>
        <v>45.930053999999998</v>
      </c>
      <c r="G47" s="9">
        <f t="shared" si="38"/>
        <v>92.168993</v>
      </c>
      <c r="H47" s="9">
        <f t="shared" si="38"/>
        <v>103.120321</v>
      </c>
      <c r="I47" s="9">
        <f t="shared" si="38"/>
        <v>126.44720599999999</v>
      </c>
      <c r="J47" s="9">
        <f t="shared" si="38"/>
        <v>140.605334</v>
      </c>
      <c r="K47" s="9">
        <f t="shared" si="38"/>
        <v>148.47184899999999</v>
      </c>
      <c r="L47" s="9">
        <f t="shared" si="38"/>
        <v>177.18731700000001</v>
      </c>
      <c r="M47" s="9">
        <f t="shared" si="38"/>
        <v>183.91031899999999</v>
      </c>
      <c r="N47" s="9">
        <f t="shared" si="38"/>
        <v>191.97862499999999</v>
      </c>
      <c r="O47" s="9">
        <f t="shared" ref="O47:P47" si="39">O9/1000000</f>
        <v>218.69549599999999</v>
      </c>
      <c r="P47" s="9">
        <f t="shared" si="39"/>
        <v>226.177887</v>
      </c>
      <c r="Q47" s="9">
        <f t="shared" ref="Q47:R47" si="40">Q9/1000000</f>
        <v>4.8988370000000003</v>
      </c>
      <c r="R47" s="9">
        <f t="shared" si="40"/>
        <v>44.486477000000001</v>
      </c>
      <c r="S47" s="9">
        <f t="shared" ref="S47:T47" si="41">S9/1000000</f>
        <v>94.795333999999997</v>
      </c>
      <c r="T47" s="9">
        <f t="shared" si="41"/>
        <v>107.55192599999999</v>
      </c>
      <c r="U47" s="9">
        <f t="shared" ref="U47:V47" si="42">U9/1000000</f>
        <v>131.999717</v>
      </c>
      <c r="V47" s="9">
        <f t="shared" si="42"/>
        <v>141.170119</v>
      </c>
      <c r="W47" s="9">
        <f t="shared" ref="W47:AG47" si="43">W9/1000000</f>
        <v>150.43131700000001</v>
      </c>
      <c r="X47" s="9">
        <f t="shared" ref="X47" si="44">X9/1000000</f>
        <v>182.24871300000001</v>
      </c>
      <c r="Y47" s="9">
        <f t="shared" si="43"/>
        <v>189.34796</v>
      </c>
      <c r="Z47" s="9">
        <f t="shared" si="43"/>
        <v>197.64714900000001</v>
      </c>
      <c r="AA47" s="9">
        <f t="shared" si="43"/>
        <v>223.31783200000001</v>
      </c>
      <c r="AB47" s="9">
        <f t="shared" si="43"/>
        <v>230.60750400000001</v>
      </c>
      <c r="AC47" s="9">
        <f t="shared" si="43"/>
        <v>0</v>
      </c>
      <c r="AD47" s="9">
        <f t="shared" si="43"/>
        <v>49.241672999999999</v>
      </c>
      <c r="AE47" s="9">
        <f t="shared" si="43"/>
        <v>106.437275</v>
      </c>
      <c r="AF47" s="9">
        <f t="shared" si="43"/>
        <v>118.372069</v>
      </c>
      <c r="AG47" s="9">
        <f t="shared" si="43"/>
        <v>0</v>
      </c>
      <c r="AH47" s="9"/>
    </row>
    <row r="48" spans="4:34" ht="13.5" customHeight="1">
      <c r="D48" t="str">
        <f t="shared" si="3"/>
        <v>1.7 Muitas nodoklis</v>
      </c>
      <c r="E48" s="9">
        <f t="shared" ref="E48:N48" si="45">E10/1000000</f>
        <v>4.4934029999999998</v>
      </c>
      <c r="F48" s="9">
        <f t="shared" si="45"/>
        <v>8.3891200000000001</v>
      </c>
      <c r="G48" s="9">
        <f t="shared" si="45"/>
        <v>13.049462</v>
      </c>
      <c r="H48" s="9">
        <f t="shared" si="45"/>
        <v>18.85351</v>
      </c>
      <c r="I48" s="9">
        <f t="shared" si="45"/>
        <v>23.860588</v>
      </c>
      <c r="J48" s="9">
        <f t="shared" si="45"/>
        <v>29.057912000000002</v>
      </c>
      <c r="K48" s="9">
        <f t="shared" si="45"/>
        <v>34.810983</v>
      </c>
      <c r="L48" s="9">
        <f t="shared" si="45"/>
        <v>40.629244999999997</v>
      </c>
      <c r="M48" s="9">
        <f t="shared" si="45"/>
        <v>47.053365999999997</v>
      </c>
      <c r="N48" s="9">
        <f t="shared" si="45"/>
        <v>54.661473999999998</v>
      </c>
      <c r="O48" s="9">
        <f t="shared" ref="O48:P48" si="46">O10/1000000</f>
        <v>62.410758000000001</v>
      </c>
      <c r="P48" s="9">
        <f t="shared" si="46"/>
        <v>70.732686000000001</v>
      </c>
      <c r="Q48" s="9">
        <f t="shared" ref="Q48:R48" si="47">Q10/1000000</f>
        <v>10.190892</v>
      </c>
      <c r="R48" s="9">
        <f t="shared" si="47"/>
        <v>16.273137999999999</v>
      </c>
      <c r="S48" s="9">
        <f t="shared" ref="S48:T48" si="48">S10/1000000</f>
        <v>23.892378999999998</v>
      </c>
      <c r="T48" s="9">
        <f t="shared" si="48"/>
        <v>31.499103000000002</v>
      </c>
      <c r="U48" s="9">
        <f t="shared" ref="U48:V48" si="49">U10/1000000</f>
        <v>40.281014999999996</v>
      </c>
      <c r="V48" s="9">
        <f t="shared" si="49"/>
        <v>48.728394999999999</v>
      </c>
      <c r="W48" s="9">
        <f t="shared" ref="W48:AG48" si="50">W10/1000000</f>
        <v>55.246982000000003</v>
      </c>
      <c r="X48" s="9">
        <f t="shared" ref="X48" si="51">X10/1000000</f>
        <v>61.078741000000001</v>
      </c>
      <c r="Y48" s="9">
        <f t="shared" si="50"/>
        <v>66.946858000000006</v>
      </c>
      <c r="Z48" s="9">
        <f t="shared" si="50"/>
        <v>72.747319000000005</v>
      </c>
      <c r="AA48" s="9">
        <f t="shared" si="50"/>
        <v>79.035132000000004</v>
      </c>
      <c r="AB48" s="9">
        <f t="shared" si="50"/>
        <v>87.860052999999994</v>
      </c>
      <c r="AC48" s="9">
        <f t="shared" si="50"/>
        <v>5.6276849999999996</v>
      </c>
      <c r="AD48" s="9">
        <f t="shared" si="50"/>
        <v>10.594569</v>
      </c>
      <c r="AE48" s="9">
        <f t="shared" si="50"/>
        <v>16.978587000000001</v>
      </c>
      <c r="AF48" s="9">
        <f t="shared" si="50"/>
        <v>20.653251999999998</v>
      </c>
      <c r="AG48" s="9">
        <f t="shared" si="50"/>
        <v>0</v>
      </c>
      <c r="AH48" s="9"/>
    </row>
    <row r="49" spans="4:34" ht="13.5" customHeight="1">
      <c r="D49" t="str">
        <f t="shared" si="3"/>
        <v>1.5 Pievienotās vērtības nodoklis</v>
      </c>
      <c r="E49" s="9">
        <f t="shared" ref="E49:N49" si="52">E11/1000000</f>
        <v>218.35477900000001</v>
      </c>
      <c r="F49" s="9">
        <f t="shared" si="52"/>
        <v>427.39786700000002</v>
      </c>
      <c r="G49" s="9">
        <f t="shared" si="52"/>
        <v>595.43814599999996</v>
      </c>
      <c r="H49" s="9">
        <f t="shared" si="52"/>
        <v>836.05941700000005</v>
      </c>
      <c r="I49" s="9">
        <f t="shared" si="52"/>
        <v>1070.000149</v>
      </c>
      <c r="J49" s="9">
        <f t="shared" si="52"/>
        <v>1321.118117</v>
      </c>
      <c r="K49" s="9">
        <f t="shared" si="52"/>
        <v>1593.5658559999999</v>
      </c>
      <c r="L49" s="9">
        <f t="shared" si="52"/>
        <v>1860.2095670000001</v>
      </c>
      <c r="M49" s="9">
        <f t="shared" si="52"/>
        <v>2115.7228639999998</v>
      </c>
      <c r="N49" s="9">
        <f t="shared" si="52"/>
        <v>2397.5067979999999</v>
      </c>
      <c r="O49" s="9">
        <f t="shared" ref="O49:P49" si="53">O11/1000000</f>
        <v>2641.6024130000001</v>
      </c>
      <c r="P49" s="9">
        <f t="shared" si="53"/>
        <v>2762.4929609999999</v>
      </c>
      <c r="Q49" s="9">
        <f t="shared" ref="Q49:R49" si="54">Q11/1000000</f>
        <v>305.15682800000002</v>
      </c>
      <c r="R49" s="9">
        <f t="shared" si="54"/>
        <v>546.38134600000001</v>
      </c>
      <c r="S49" s="9">
        <f t="shared" ref="S49:T49" si="55">S11/1000000</f>
        <v>759.65136700000005</v>
      </c>
      <c r="T49" s="9">
        <f t="shared" si="55"/>
        <v>1077.1617020000001</v>
      </c>
      <c r="U49" s="9">
        <f t="shared" ref="U49:V49" si="56">U11/1000000</f>
        <v>1319.037687</v>
      </c>
      <c r="V49" s="9">
        <f t="shared" si="56"/>
        <v>1626.4167729999999</v>
      </c>
      <c r="W49" s="9">
        <f t="shared" ref="W49:AG49" si="57">W11/1000000</f>
        <v>1944.80708</v>
      </c>
      <c r="X49" s="9">
        <f t="shared" ref="X49" si="58">X11/1000000</f>
        <v>2247.531641</v>
      </c>
      <c r="Y49" s="9">
        <f t="shared" si="57"/>
        <v>2522.9629289999998</v>
      </c>
      <c r="Z49" s="9">
        <f t="shared" si="57"/>
        <v>2852.105693</v>
      </c>
      <c r="AA49" s="9">
        <f t="shared" si="57"/>
        <v>3216.5824889999999</v>
      </c>
      <c r="AB49" s="9">
        <f t="shared" si="57"/>
        <v>3558.6709609999998</v>
      </c>
      <c r="AC49" s="9">
        <f t="shared" si="57"/>
        <v>386.10967099999999</v>
      </c>
      <c r="AD49" s="9">
        <f t="shared" si="57"/>
        <v>687.91581299999996</v>
      </c>
      <c r="AE49" s="9">
        <f t="shared" si="57"/>
        <v>1013.348041</v>
      </c>
      <c r="AF49" s="9">
        <f t="shared" si="57"/>
        <v>1351.846955</v>
      </c>
      <c r="AG49" s="9">
        <f t="shared" si="57"/>
        <v>0</v>
      </c>
      <c r="AH49" s="9"/>
    </row>
    <row r="50" spans="4:34" ht="13.5" customHeight="1">
      <c r="D50" t="str">
        <f t="shared" si="3"/>
        <v>1.6 Akcīzes nodoklis</v>
      </c>
      <c r="E50" s="9">
        <f t="shared" ref="E50:N50" si="59">E12/1000000</f>
        <v>88.145899</v>
      </c>
      <c r="F50" s="9">
        <f t="shared" si="59"/>
        <v>163.46326999999999</v>
      </c>
      <c r="G50" s="9">
        <f t="shared" si="59"/>
        <v>239.10284300000001</v>
      </c>
      <c r="H50" s="9">
        <f t="shared" si="59"/>
        <v>336.23315500000001</v>
      </c>
      <c r="I50" s="9">
        <f t="shared" si="59"/>
        <v>418.37323700000002</v>
      </c>
      <c r="J50" s="9">
        <f t="shared" si="59"/>
        <v>512.76509199999998</v>
      </c>
      <c r="K50" s="9">
        <f t="shared" si="59"/>
        <v>618.10742000000005</v>
      </c>
      <c r="L50" s="9">
        <f t="shared" si="59"/>
        <v>724.22276499999998</v>
      </c>
      <c r="M50" s="9">
        <f t="shared" si="59"/>
        <v>822.33678299999997</v>
      </c>
      <c r="N50" s="9">
        <f t="shared" si="59"/>
        <v>919.15909199999999</v>
      </c>
      <c r="O50" s="9">
        <f t="shared" ref="O50:P50" si="60">O12/1000000</f>
        <v>1006.717926</v>
      </c>
      <c r="P50" s="9">
        <f t="shared" si="60"/>
        <v>1104.8404660000001</v>
      </c>
      <c r="Q50" s="9">
        <f t="shared" ref="Q50:R50" si="61">Q12/1000000</f>
        <v>94.489587</v>
      </c>
      <c r="R50" s="9">
        <f t="shared" si="61"/>
        <v>179.92167599999999</v>
      </c>
      <c r="S50" s="9">
        <f t="shared" ref="S50:T50" si="62">S12/1000000</f>
        <v>263.389093</v>
      </c>
      <c r="T50" s="9">
        <f t="shared" si="62"/>
        <v>358.151207</v>
      </c>
      <c r="U50" s="9">
        <f t="shared" ref="U50:V50" si="63">U12/1000000</f>
        <v>447.85999600000002</v>
      </c>
      <c r="V50" s="9">
        <f t="shared" si="63"/>
        <v>547.15578800000003</v>
      </c>
      <c r="W50" s="9">
        <f t="shared" ref="W50:AG50" si="64">W12/1000000</f>
        <v>644.76245100000006</v>
      </c>
      <c r="X50" s="9">
        <f t="shared" ref="X50" si="65">X12/1000000</f>
        <v>744.08203700000001</v>
      </c>
      <c r="Y50" s="9">
        <f t="shared" si="64"/>
        <v>852.451549</v>
      </c>
      <c r="Z50" s="9">
        <f t="shared" si="64"/>
        <v>949.40297199999998</v>
      </c>
      <c r="AA50" s="9">
        <f t="shared" si="64"/>
        <v>1045.6472269999999</v>
      </c>
      <c r="AB50" s="9">
        <f t="shared" si="64"/>
        <v>1131.033281</v>
      </c>
      <c r="AC50" s="9">
        <f t="shared" si="64"/>
        <v>101.657421</v>
      </c>
      <c r="AD50" s="9">
        <f t="shared" si="64"/>
        <v>186.85750899999999</v>
      </c>
      <c r="AE50" s="9">
        <f t="shared" si="64"/>
        <v>279.09683000000001</v>
      </c>
      <c r="AF50" s="9">
        <f t="shared" si="64"/>
        <v>372.240452</v>
      </c>
      <c r="AG50" s="9">
        <f t="shared" si="64"/>
        <v>0</v>
      </c>
      <c r="AH50" s="9"/>
    </row>
    <row r="51" spans="4:34" ht="13.5" customHeight="1">
      <c r="D51" t="str">
        <f t="shared" si="3"/>
        <v>1.8 Nodokļi atsevišķām precēm un pakalpojumu veidiem</v>
      </c>
      <c r="E51" s="9">
        <f t="shared" ref="E51:N51" si="66">E13/1000000</f>
        <v>12.891030000000001</v>
      </c>
      <c r="F51" s="9">
        <f t="shared" si="66"/>
        <v>23.523499999999999</v>
      </c>
      <c r="G51" s="9">
        <f t="shared" si="66"/>
        <v>36.960140000000003</v>
      </c>
      <c r="H51" s="9">
        <f t="shared" si="66"/>
        <v>49.263326999999997</v>
      </c>
      <c r="I51" s="9">
        <f t="shared" si="66"/>
        <v>60.847772999999997</v>
      </c>
      <c r="J51" s="9">
        <f t="shared" si="66"/>
        <v>72.955927000000003</v>
      </c>
      <c r="K51" s="9">
        <f t="shared" si="66"/>
        <v>85.960891000000004</v>
      </c>
      <c r="L51" s="9">
        <f t="shared" si="66"/>
        <v>99.677976000000001</v>
      </c>
      <c r="M51" s="9">
        <f t="shared" si="66"/>
        <v>113.002262</v>
      </c>
      <c r="N51" s="9">
        <f t="shared" si="66"/>
        <v>125.69522600000001</v>
      </c>
      <c r="O51" s="9">
        <f t="shared" ref="O51:P51" si="67">O13/1000000</f>
        <v>136.55025599999999</v>
      </c>
      <c r="P51" s="9">
        <f t="shared" si="67"/>
        <v>147.74015199999999</v>
      </c>
      <c r="Q51" s="9">
        <f t="shared" ref="Q51:R51" si="68">Q13/1000000</f>
        <v>14.748863999999999</v>
      </c>
      <c r="R51" s="9">
        <f t="shared" si="68"/>
        <v>26.568750999999999</v>
      </c>
      <c r="S51" s="9">
        <f t="shared" ref="S51:T51" si="69">S13/1000000</f>
        <v>40.396445999999997</v>
      </c>
      <c r="T51" s="9">
        <f t="shared" si="69"/>
        <v>54.033748000000003</v>
      </c>
      <c r="U51" s="9">
        <f t="shared" ref="U51:V51" si="70">U13/1000000</f>
        <v>69.081631999999999</v>
      </c>
      <c r="V51" s="9">
        <f t="shared" si="70"/>
        <v>83.598359000000002</v>
      </c>
      <c r="W51" s="9">
        <f t="shared" ref="W51:AG51" si="71">W13/1000000</f>
        <v>98.603516999999997</v>
      </c>
      <c r="X51" s="9">
        <f t="shared" ref="X51" si="72">X13/1000000</f>
        <v>113.952877</v>
      </c>
      <c r="Y51" s="9">
        <f t="shared" si="71"/>
        <v>128.077428</v>
      </c>
      <c r="Z51" s="9">
        <f t="shared" si="71"/>
        <v>141.64609200000001</v>
      </c>
      <c r="AA51" s="9">
        <f t="shared" si="71"/>
        <v>155.08214599999999</v>
      </c>
      <c r="AB51" s="9">
        <f t="shared" si="71"/>
        <v>168.39973599999999</v>
      </c>
      <c r="AC51" s="9">
        <f t="shared" si="71"/>
        <v>18.154273</v>
      </c>
      <c r="AD51" s="9">
        <f t="shared" si="71"/>
        <v>32.664174000000003</v>
      </c>
      <c r="AE51" s="9">
        <f t="shared" si="71"/>
        <v>49.547328999999998</v>
      </c>
      <c r="AF51" s="9">
        <f t="shared" si="71"/>
        <v>64.009015000000005</v>
      </c>
      <c r="AG51" s="9">
        <f t="shared" si="71"/>
        <v>0</v>
      </c>
      <c r="AH51" s="9"/>
    </row>
    <row r="52" spans="4:34" ht="13.5" customHeight="1">
      <c r="D52" t="str">
        <f t="shared" si="3"/>
        <v>1.9 Nodokļi un maksājumi par tiesībām lietot atsevišķas preces</v>
      </c>
      <c r="E52" s="9">
        <f t="shared" ref="E52:N52" si="73">E14/1000000</f>
        <v>7.7728840000000003</v>
      </c>
      <c r="F52" s="9">
        <f t="shared" si="73"/>
        <v>8.1746180000000006</v>
      </c>
      <c r="G52" s="9">
        <f t="shared" si="73"/>
        <v>9.2762329999999995</v>
      </c>
      <c r="H52" s="9">
        <f t="shared" si="73"/>
        <v>18.386433</v>
      </c>
      <c r="I52" s="9">
        <f t="shared" si="73"/>
        <v>18.897884999999999</v>
      </c>
      <c r="J52" s="9">
        <f t="shared" si="73"/>
        <v>19.355979999999999</v>
      </c>
      <c r="K52" s="9">
        <f t="shared" si="73"/>
        <v>30.898468000000001</v>
      </c>
      <c r="L52" s="9">
        <f t="shared" si="73"/>
        <v>31.377108</v>
      </c>
      <c r="M52" s="9">
        <f t="shared" si="73"/>
        <v>31.780715000000001</v>
      </c>
      <c r="N52" s="9">
        <f t="shared" si="73"/>
        <v>42.019258000000001</v>
      </c>
      <c r="O52" s="9">
        <f t="shared" ref="O52:P52" si="74">O14/1000000</f>
        <v>42.536332999999999</v>
      </c>
      <c r="P52" s="9">
        <f t="shared" si="74"/>
        <v>43.639816000000003</v>
      </c>
      <c r="Q52" s="9">
        <f t="shared" ref="Q52:R52" si="75">Q14/1000000</f>
        <v>12.438751</v>
      </c>
      <c r="R52" s="9">
        <f t="shared" si="75"/>
        <v>13.167695999999999</v>
      </c>
      <c r="S52" s="9">
        <f t="shared" ref="S52:T52" si="76">S14/1000000</f>
        <v>13.720912</v>
      </c>
      <c r="T52" s="9">
        <f t="shared" si="76"/>
        <v>25.040143</v>
      </c>
      <c r="U52" s="9">
        <f t="shared" ref="U52:V52" si="77">U14/1000000</f>
        <v>25.64986</v>
      </c>
      <c r="V52" s="9">
        <f t="shared" si="77"/>
        <v>26.026192000000002</v>
      </c>
      <c r="W52" s="9">
        <f t="shared" ref="W52:AG52" si="78">W14/1000000</f>
        <v>39.514921000000001</v>
      </c>
      <c r="X52" s="9">
        <f t="shared" ref="X52" si="79">X14/1000000</f>
        <v>40.101981000000002</v>
      </c>
      <c r="Y52" s="9">
        <f t="shared" si="78"/>
        <v>40.486806000000001</v>
      </c>
      <c r="Z52" s="9">
        <f t="shared" si="78"/>
        <v>53.674875999999998</v>
      </c>
      <c r="AA52" s="9">
        <f t="shared" si="78"/>
        <v>54.170572</v>
      </c>
      <c r="AB52" s="9">
        <f t="shared" si="78"/>
        <v>54.393112000000002</v>
      </c>
      <c r="AC52" s="9">
        <f t="shared" si="78"/>
        <v>14.662791</v>
      </c>
      <c r="AD52" s="9">
        <f t="shared" si="78"/>
        <v>15.657266999999999</v>
      </c>
      <c r="AE52" s="9">
        <f t="shared" si="78"/>
        <v>16.025136</v>
      </c>
      <c r="AF52" s="9">
        <f t="shared" si="78"/>
        <v>30.177935999999999</v>
      </c>
      <c r="AG52" s="9">
        <f t="shared" si="78"/>
        <v>0</v>
      </c>
      <c r="AH52" s="9"/>
    </row>
    <row r="53" spans="4:34" ht="13.5" customHeight="1">
      <c r="D53" t="str">
        <f t="shared" si="3"/>
        <v>7.0.0.0 Ieņēmumi no speciālajiem nodokļu režīmiem</v>
      </c>
      <c r="E53" s="9">
        <f t="shared" ref="E53:N53" si="80">E15/1000000</f>
        <v>8.1143000000000007E-2</v>
      </c>
      <c r="F53" s="9">
        <f t="shared" si="80"/>
        <v>1.5297E-2</v>
      </c>
      <c r="G53" s="9">
        <f t="shared" si="80"/>
        <v>-2.7952000000000001E-2</v>
      </c>
      <c r="H53" s="9">
        <f t="shared" si="80"/>
        <v>-3.1468999999999997E-2</v>
      </c>
      <c r="I53" s="9">
        <f t="shared" si="80"/>
        <v>-3.2168000000000002E-2</v>
      </c>
      <c r="J53" s="9">
        <f t="shared" si="80"/>
        <v>-3.1916E-2</v>
      </c>
      <c r="K53" s="9">
        <f t="shared" si="80"/>
        <v>-3.2887E-2</v>
      </c>
      <c r="L53" s="9">
        <f t="shared" si="80"/>
        <v>-8.2069000000000003E-2</v>
      </c>
      <c r="M53" s="9">
        <f t="shared" si="80"/>
        <v>-8.7984999999999994E-2</v>
      </c>
      <c r="N53" s="9">
        <f t="shared" si="80"/>
        <v>-9.0573000000000001E-2</v>
      </c>
      <c r="O53" s="9">
        <f t="shared" ref="O53:P53" si="81">O15/1000000</f>
        <v>-9.4089999999999993E-2</v>
      </c>
      <c r="P53" s="9">
        <f t="shared" si="81"/>
        <v>-7.6010999999999995E-2</v>
      </c>
      <c r="Q53" s="9">
        <f t="shared" ref="Q53:R53" si="82">Q15/1000000</f>
        <v>2.1770000000000001E-3</v>
      </c>
      <c r="R53" s="9">
        <f t="shared" si="82"/>
        <v>3.418E-3</v>
      </c>
      <c r="S53" s="9">
        <f t="shared" ref="S53:T53" si="83">S15/1000000</f>
        <v>4.1110000000000001E-3</v>
      </c>
      <c r="T53" s="9">
        <f t="shared" si="83"/>
        <v>0.12712200000000001</v>
      </c>
      <c r="U53" s="9">
        <f t="shared" ref="U53:V53" si="84">U15/1000000</f>
        <v>5.522E-3</v>
      </c>
      <c r="V53" s="9">
        <f t="shared" si="84"/>
        <v>5.6680000000000003E-3</v>
      </c>
      <c r="W53" s="9">
        <f t="shared" ref="W53:AG53" si="85">W15/1000000</f>
        <v>5.6420000000000003E-3</v>
      </c>
      <c r="X53" s="9">
        <f t="shared" ref="X53" si="86">X15/1000000</f>
        <v>5.9189999999999998E-3</v>
      </c>
      <c r="Y53" s="9">
        <f t="shared" si="85"/>
        <v>6.293E-3</v>
      </c>
      <c r="Z53" s="9">
        <f t="shared" si="85"/>
        <v>6.5050000000000004E-3</v>
      </c>
      <c r="AA53" s="9">
        <f t="shared" si="85"/>
        <v>8.7679999999999998E-3</v>
      </c>
      <c r="AB53" s="9">
        <f t="shared" si="85"/>
        <v>1.3169999999999999E-2</v>
      </c>
      <c r="AC53" s="9">
        <f t="shared" si="85"/>
        <v>8.5179999999999995E-3</v>
      </c>
      <c r="AD53" s="9">
        <f t="shared" si="85"/>
        <v>9.8519999999999996E-3</v>
      </c>
      <c r="AE53" s="9">
        <f t="shared" si="85"/>
        <v>1.0758999999999999E-2</v>
      </c>
      <c r="AF53" s="9">
        <f t="shared" si="85"/>
        <v>1.1053E-2</v>
      </c>
      <c r="AG53" s="9">
        <f t="shared" si="85"/>
        <v>0</v>
      </c>
      <c r="AH53" s="9"/>
    </row>
    <row r="54" spans="4:34" ht="13.5" customHeight="1">
      <c r="D54" t="str">
        <f t="shared" si="3"/>
        <v>2.0 Nenodokļu ieņēmumi</v>
      </c>
      <c r="E54" s="9">
        <f t="shared" ref="E54:N54" si="87">E16/1000000</f>
        <v>31.370888000000001</v>
      </c>
      <c r="F54" s="9">
        <f t="shared" si="87"/>
        <v>76.491956000000002</v>
      </c>
      <c r="G54" s="9">
        <f t="shared" si="87"/>
        <v>111.756725</v>
      </c>
      <c r="H54" s="9">
        <f t="shared" si="87"/>
        <v>159.08785499999999</v>
      </c>
      <c r="I54" s="9">
        <f t="shared" si="87"/>
        <v>353.21859999999998</v>
      </c>
      <c r="J54" s="9">
        <f t="shared" si="87"/>
        <v>491.12183599999997</v>
      </c>
      <c r="K54" s="9">
        <f t="shared" si="87"/>
        <v>534.69181900000001</v>
      </c>
      <c r="L54" s="9">
        <f t="shared" si="87"/>
        <v>577.84869100000003</v>
      </c>
      <c r="M54" s="9">
        <f t="shared" si="87"/>
        <v>634.91949099999999</v>
      </c>
      <c r="N54" s="9">
        <f t="shared" si="87"/>
        <v>683.40651400000002</v>
      </c>
      <c r="O54" s="9">
        <f t="shared" ref="O54:P54" si="88">O16/1000000</f>
        <v>723.67441199999996</v>
      </c>
      <c r="P54" s="9">
        <f t="shared" si="88"/>
        <v>774.009995</v>
      </c>
      <c r="Q54" s="9">
        <f t="shared" ref="Q54:R54" si="89">Q16/1000000</f>
        <v>57.283079000000001</v>
      </c>
      <c r="R54" s="9">
        <f t="shared" si="89"/>
        <v>103.48774400000001</v>
      </c>
      <c r="S54" s="9">
        <f t="shared" ref="S54:T54" si="90">S16/1000000</f>
        <v>168.95218199999999</v>
      </c>
      <c r="T54" s="9">
        <f t="shared" si="90"/>
        <v>236.00095300000001</v>
      </c>
      <c r="U54" s="9">
        <f t="shared" ref="U54:V54" si="91">U16/1000000</f>
        <v>324.41566899999998</v>
      </c>
      <c r="V54" s="9">
        <f t="shared" si="91"/>
        <v>452.66543200000001</v>
      </c>
      <c r="W54" s="9">
        <f t="shared" ref="W54:AG54" si="92">W16/1000000</f>
        <v>585.77778999999998</v>
      </c>
      <c r="X54" s="9">
        <f t="shared" ref="X54" si="93">X16/1000000</f>
        <v>645.41641200000004</v>
      </c>
      <c r="Y54" s="9">
        <f t="shared" si="92"/>
        <v>687.03886</v>
      </c>
      <c r="Z54" s="9">
        <f t="shared" si="92"/>
        <v>736.74143000000004</v>
      </c>
      <c r="AA54" s="9">
        <f t="shared" si="92"/>
        <v>796.41268700000001</v>
      </c>
      <c r="AB54" s="9">
        <f t="shared" si="92"/>
        <v>847.58404599999994</v>
      </c>
      <c r="AC54" s="9">
        <f t="shared" si="92"/>
        <v>46.895817000000001</v>
      </c>
      <c r="AD54" s="9">
        <f t="shared" si="92"/>
        <v>102.340745</v>
      </c>
      <c r="AE54" s="9">
        <f t="shared" si="92"/>
        <v>156.12235899999999</v>
      </c>
      <c r="AF54" s="9">
        <f t="shared" si="92"/>
        <v>233.35944799999999</v>
      </c>
      <c r="AG54" s="9">
        <f t="shared" si="92"/>
        <v>0</v>
      </c>
      <c r="AH54" s="9"/>
    </row>
    <row r="55" spans="4:34" ht="13.5" customHeight="1">
      <c r="D55" t="str">
        <f t="shared" si="3"/>
        <v>8.0.0.0 Ieņēmumi no valsts uzņēmējdarbības un īpašuma</v>
      </c>
      <c r="E55" s="9">
        <f t="shared" ref="E55:N55" si="94">E17/1000000</f>
        <v>8.5820709999999991</v>
      </c>
      <c r="F55" s="9">
        <f t="shared" si="94"/>
        <v>21.359939000000001</v>
      </c>
      <c r="G55" s="9">
        <f t="shared" si="94"/>
        <v>27.534808999999999</v>
      </c>
      <c r="H55" s="9">
        <f t="shared" si="94"/>
        <v>36.554461000000003</v>
      </c>
      <c r="I55" s="9">
        <f t="shared" si="94"/>
        <v>189.23026300000001</v>
      </c>
      <c r="J55" s="9">
        <f t="shared" si="94"/>
        <v>288.63330200000001</v>
      </c>
      <c r="K55" s="9">
        <f t="shared" si="94"/>
        <v>297.35710799999998</v>
      </c>
      <c r="L55" s="9">
        <f t="shared" si="94"/>
        <v>301.17535600000002</v>
      </c>
      <c r="M55" s="9">
        <f t="shared" si="94"/>
        <v>312.14423799999997</v>
      </c>
      <c r="N55" s="9">
        <f t="shared" si="94"/>
        <v>320.15025800000001</v>
      </c>
      <c r="O55" s="9">
        <f t="shared" ref="O55:P55" si="95">O17/1000000</f>
        <v>330.45098000000002</v>
      </c>
      <c r="P55" s="9">
        <f t="shared" si="95"/>
        <v>342.14727599999998</v>
      </c>
      <c r="Q55" s="9">
        <f t="shared" ref="Q55:R55" si="96">Q17/1000000</f>
        <v>7.1279599999999999</v>
      </c>
      <c r="R55" s="9">
        <f t="shared" si="96"/>
        <v>16.122277</v>
      </c>
      <c r="S55" s="9">
        <f t="shared" ref="S55:T55" si="97">S17/1000000</f>
        <v>49.649720000000002</v>
      </c>
      <c r="T55" s="9">
        <f t="shared" si="97"/>
        <v>89.784705000000002</v>
      </c>
      <c r="U55" s="9">
        <f t="shared" ref="U55:V55" si="98">U17/1000000</f>
        <v>133.902074</v>
      </c>
      <c r="V55" s="9">
        <f t="shared" si="98"/>
        <v>227.14603500000001</v>
      </c>
      <c r="W55" s="9">
        <f t="shared" ref="W55:AG55" si="99">W17/1000000</f>
        <v>307.33553899999998</v>
      </c>
      <c r="X55" s="9">
        <f t="shared" ref="X55" si="100">X17/1000000</f>
        <v>314.00021800000002</v>
      </c>
      <c r="Y55" s="9">
        <f t="shared" si="99"/>
        <v>321.55837500000001</v>
      </c>
      <c r="Z55" s="9">
        <f t="shared" si="99"/>
        <v>330.39710000000002</v>
      </c>
      <c r="AA55" s="9">
        <f t="shared" si="99"/>
        <v>343.73839299999997</v>
      </c>
      <c r="AB55" s="9">
        <f t="shared" si="99"/>
        <v>353.44409899999999</v>
      </c>
      <c r="AC55" s="9">
        <f t="shared" si="99"/>
        <v>14.596113000000001</v>
      </c>
      <c r="AD55" s="9">
        <f t="shared" si="99"/>
        <v>29.940042999999999</v>
      </c>
      <c r="AE55" s="9">
        <f t="shared" si="99"/>
        <v>44.925001000000002</v>
      </c>
      <c r="AF55" s="9">
        <f t="shared" si="99"/>
        <v>78.197046</v>
      </c>
      <c r="AG55" s="9">
        <f t="shared" si="99"/>
        <v>0</v>
      </c>
      <c r="AH55" s="9"/>
    </row>
    <row r="56" spans="4:34" ht="13.5" customHeight="1">
      <c r="D56" t="str">
        <f t="shared" si="3"/>
        <v>9.0.0.0 Valsts (pašvaldību) nodevas un kancelejas nodevas</v>
      </c>
      <c r="E56" s="9">
        <f t="shared" ref="E56:N56" si="101">E18/1000000</f>
        <v>12.152003000000001</v>
      </c>
      <c r="F56" s="9">
        <f t="shared" si="101"/>
        <v>22.638877999999998</v>
      </c>
      <c r="G56" s="9">
        <f t="shared" si="101"/>
        <v>35.045977000000001</v>
      </c>
      <c r="H56" s="9">
        <f t="shared" si="101"/>
        <v>50.09552</v>
      </c>
      <c r="I56" s="9">
        <f t="shared" si="101"/>
        <v>62.665219999999998</v>
      </c>
      <c r="J56" s="9">
        <f t="shared" si="101"/>
        <v>75.487313</v>
      </c>
      <c r="K56" s="9">
        <f t="shared" si="101"/>
        <v>91.062603999999993</v>
      </c>
      <c r="L56" s="9">
        <f t="shared" si="101"/>
        <v>105.769437</v>
      </c>
      <c r="M56" s="9">
        <f t="shared" si="101"/>
        <v>119.823076</v>
      </c>
      <c r="N56" s="9">
        <f t="shared" si="101"/>
        <v>133.91307699999999</v>
      </c>
      <c r="O56" s="9">
        <f t="shared" ref="O56:P56" si="102">O18/1000000</f>
        <v>147.29786200000001</v>
      </c>
      <c r="P56" s="9">
        <f t="shared" si="102"/>
        <v>162.030034</v>
      </c>
      <c r="Q56" s="9">
        <f t="shared" ref="Q56:R56" si="103">Q18/1000000</f>
        <v>12.354480000000001</v>
      </c>
      <c r="R56" s="9">
        <f t="shared" si="103"/>
        <v>24.421441999999999</v>
      </c>
      <c r="S56" s="9">
        <f t="shared" ref="S56:T56" si="104">S18/1000000</f>
        <v>38.764260999999998</v>
      </c>
      <c r="T56" s="9">
        <f t="shared" si="104"/>
        <v>55.049461999999998</v>
      </c>
      <c r="U56" s="9">
        <f t="shared" ref="U56:V56" si="105">U18/1000000</f>
        <v>68.141452999999998</v>
      </c>
      <c r="V56" s="9">
        <f t="shared" si="105"/>
        <v>82.135859999999994</v>
      </c>
      <c r="W56" s="9">
        <f t="shared" ref="W56:AG56" si="106">W18/1000000</f>
        <v>98.498223999999993</v>
      </c>
      <c r="X56" s="9">
        <f t="shared" ref="X56" si="107">X18/1000000</f>
        <v>115.694064</v>
      </c>
      <c r="Y56" s="9">
        <f t="shared" si="106"/>
        <v>131.01799500000001</v>
      </c>
      <c r="Z56" s="9">
        <f t="shared" si="106"/>
        <v>146.41254799999999</v>
      </c>
      <c r="AA56" s="9">
        <f t="shared" si="106"/>
        <v>162.10023000000001</v>
      </c>
      <c r="AB56" s="9">
        <f t="shared" si="106"/>
        <v>175.795569</v>
      </c>
      <c r="AC56" s="9">
        <f t="shared" si="106"/>
        <v>13.999089</v>
      </c>
      <c r="AD56" s="9">
        <f t="shared" si="106"/>
        <v>30.19867</v>
      </c>
      <c r="AE56" s="9">
        <f t="shared" si="106"/>
        <v>48.820338999999997</v>
      </c>
      <c r="AF56" s="9">
        <f t="shared" si="106"/>
        <v>68.900637000000003</v>
      </c>
      <c r="AG56" s="9">
        <f t="shared" si="106"/>
        <v>0</v>
      </c>
      <c r="AH56" s="9"/>
    </row>
    <row r="57" spans="4:34" ht="13.5" customHeight="1">
      <c r="D57" t="str">
        <f t="shared" si="3"/>
        <v>10.0.0.0 Naudas sodi un sankcijas</v>
      </c>
      <c r="E57" s="9">
        <f t="shared" ref="E57:N57" si="108">E19/1000000</f>
        <v>2.8099280000000002</v>
      </c>
      <c r="F57" s="9">
        <f t="shared" si="108"/>
        <v>5.1544920000000003</v>
      </c>
      <c r="G57" s="9">
        <f t="shared" si="108"/>
        <v>8.8237269999999999</v>
      </c>
      <c r="H57" s="9">
        <f t="shared" si="108"/>
        <v>14.173508999999999</v>
      </c>
      <c r="I57" s="9">
        <f t="shared" si="108"/>
        <v>16.849133999999999</v>
      </c>
      <c r="J57" s="9">
        <f t="shared" si="108"/>
        <v>19.562213</v>
      </c>
      <c r="K57" s="9">
        <f t="shared" si="108"/>
        <v>23.141128999999999</v>
      </c>
      <c r="L57" s="9">
        <f t="shared" si="108"/>
        <v>27.294900999999999</v>
      </c>
      <c r="M57" s="9">
        <f t="shared" si="108"/>
        <v>31.504137</v>
      </c>
      <c r="N57" s="9">
        <f t="shared" si="108"/>
        <v>35.186619</v>
      </c>
      <c r="O57" s="9">
        <f t="shared" ref="O57:P57" si="109">O19/1000000</f>
        <v>38.357754</v>
      </c>
      <c r="P57" s="9">
        <f t="shared" si="109"/>
        <v>41.770923000000003</v>
      </c>
      <c r="Q57" s="9">
        <f t="shared" ref="Q57:R57" si="110">Q19/1000000</f>
        <v>2.7620490000000002</v>
      </c>
      <c r="R57" s="9">
        <f t="shared" si="110"/>
        <v>5.5268759999999997</v>
      </c>
      <c r="S57" s="9">
        <f t="shared" ref="S57:T57" si="111">S19/1000000</f>
        <v>9.0980109999999996</v>
      </c>
      <c r="T57" s="9">
        <f t="shared" si="111"/>
        <v>12.051612</v>
      </c>
      <c r="U57" s="9">
        <f t="shared" ref="U57:V57" si="112">U19/1000000</f>
        <v>18.549693999999999</v>
      </c>
      <c r="V57" s="9">
        <f t="shared" si="112"/>
        <v>22.042076000000002</v>
      </c>
      <c r="W57" s="9">
        <f t="shared" ref="W57:AG57" si="113">W19/1000000</f>
        <v>25.426189999999998</v>
      </c>
      <c r="X57" s="9">
        <f t="shared" ref="X57" si="114">X19/1000000</f>
        <v>36.995283999999998</v>
      </c>
      <c r="Y57" s="9">
        <f t="shared" si="113"/>
        <v>40.733105000000002</v>
      </c>
      <c r="Z57" s="9">
        <f t="shared" si="113"/>
        <v>44.158456000000001</v>
      </c>
      <c r="AA57" s="9">
        <f t="shared" si="113"/>
        <v>47.985680000000002</v>
      </c>
      <c r="AB57" s="9">
        <f t="shared" si="113"/>
        <v>50.600745000000003</v>
      </c>
      <c r="AC57" s="9">
        <f t="shared" si="113"/>
        <v>2.7800250000000002</v>
      </c>
      <c r="AD57" s="9">
        <f t="shared" si="113"/>
        <v>5.5599939999999997</v>
      </c>
      <c r="AE57" s="9">
        <f t="shared" si="113"/>
        <v>9.2386300000000006</v>
      </c>
      <c r="AF57" s="9">
        <f t="shared" si="113"/>
        <v>12.094542000000001</v>
      </c>
      <c r="AG57" s="9">
        <f t="shared" si="113"/>
        <v>0</v>
      </c>
      <c r="AH57" s="9"/>
    </row>
    <row r="58" spans="4:34" ht="13.5" customHeight="1">
      <c r="D58" t="str">
        <f t="shared" si="3"/>
        <v>12.0.0.0 Pārējie nenodokļu ieņēmumi</v>
      </c>
      <c r="E58" s="9">
        <f t="shared" ref="E58:N58" si="115">E20/1000000</f>
        <v>1.4605969999999999</v>
      </c>
      <c r="F58" s="9">
        <f t="shared" si="115"/>
        <v>9.5657060000000005</v>
      </c>
      <c r="G58" s="9">
        <f t="shared" si="115"/>
        <v>12.689671000000001</v>
      </c>
      <c r="H58" s="9">
        <f t="shared" si="115"/>
        <v>18.124760999999999</v>
      </c>
      <c r="I58" s="9">
        <f t="shared" si="115"/>
        <v>29.429092000000001</v>
      </c>
      <c r="J58" s="9">
        <f t="shared" si="115"/>
        <v>37.261400000000002</v>
      </c>
      <c r="K58" s="9">
        <f t="shared" si="115"/>
        <v>45.132956</v>
      </c>
      <c r="L58" s="9">
        <f t="shared" si="115"/>
        <v>53.192813999999998</v>
      </c>
      <c r="M58" s="9">
        <f t="shared" si="115"/>
        <v>70.367225000000005</v>
      </c>
      <c r="N58" s="9">
        <f t="shared" si="115"/>
        <v>82.902294999999995</v>
      </c>
      <c r="O58" s="9">
        <f t="shared" ref="O58:P58" si="116">O20/1000000</f>
        <v>84.348555000000005</v>
      </c>
      <c r="P58" s="9">
        <f t="shared" si="116"/>
        <v>94.300366999999994</v>
      </c>
      <c r="Q58" s="9">
        <f t="shared" ref="Q58:R58" si="117">Q20/1000000</f>
        <v>2.2809680000000001</v>
      </c>
      <c r="R58" s="9">
        <f t="shared" si="117"/>
        <v>15.564564000000001</v>
      </c>
      <c r="S58" s="9">
        <f t="shared" ref="S58:T58" si="118">S20/1000000</f>
        <v>23.313497000000002</v>
      </c>
      <c r="T58" s="9">
        <f t="shared" si="118"/>
        <v>25.564378999999999</v>
      </c>
      <c r="U58" s="9">
        <f t="shared" ref="U58:V58" si="119">U20/1000000</f>
        <v>38.070368000000002</v>
      </c>
      <c r="V58" s="9">
        <f t="shared" si="119"/>
        <v>46.502696999999998</v>
      </c>
      <c r="W58" s="9">
        <f t="shared" ref="W58:AG58" si="120">W20/1000000</f>
        <v>70.581854000000007</v>
      </c>
      <c r="X58" s="9">
        <f t="shared" ref="X58" si="121">X20/1000000</f>
        <v>74.063460000000006</v>
      </c>
      <c r="Y58" s="9">
        <f t="shared" si="120"/>
        <v>78.671767000000003</v>
      </c>
      <c r="Z58" s="9">
        <f t="shared" si="120"/>
        <v>88.582874000000004</v>
      </c>
      <c r="AA58" s="9">
        <f t="shared" si="120"/>
        <v>94.812960000000004</v>
      </c>
      <c r="AB58" s="9">
        <f t="shared" si="120"/>
        <v>105.79885400000001</v>
      </c>
      <c r="AC58" s="9">
        <f t="shared" si="120"/>
        <v>5.8013170000000001</v>
      </c>
      <c r="AD58" s="9">
        <f t="shared" si="120"/>
        <v>12.067632</v>
      </c>
      <c r="AE58" s="9">
        <f t="shared" si="120"/>
        <v>17.474049000000001</v>
      </c>
      <c r="AF58" s="9">
        <f t="shared" si="120"/>
        <v>30.816562000000001</v>
      </c>
      <c r="AG58" s="9">
        <f t="shared" si="120"/>
        <v>0</v>
      </c>
      <c r="AH58" s="9"/>
    </row>
    <row r="59" spans="4:34" ht="13.5" customHeight="1">
      <c r="D59" t="str">
        <f t="shared" si="3"/>
        <v>13.0.0.0 Ieņēmumi no valsts (pašvaldību) īpašuma iznomāšanas, pārdošanas un no nodokļu pamatparāda kapitalizācijas</v>
      </c>
      <c r="E59" s="9">
        <f t="shared" ref="E59:N59" si="122">E21/1000000</f>
        <v>3.4944890000000002</v>
      </c>
      <c r="F59" s="9">
        <f t="shared" si="122"/>
        <v>8.5207239999999995</v>
      </c>
      <c r="G59" s="9">
        <f t="shared" si="122"/>
        <v>15.379371000000001</v>
      </c>
      <c r="H59" s="9">
        <f t="shared" si="122"/>
        <v>22.770790999999999</v>
      </c>
      <c r="I59" s="9">
        <f t="shared" si="122"/>
        <v>28.971641999999999</v>
      </c>
      <c r="J59" s="9">
        <f t="shared" si="122"/>
        <v>39.652600999999997</v>
      </c>
      <c r="K59" s="9">
        <f t="shared" si="122"/>
        <v>41.773949999999999</v>
      </c>
      <c r="L59" s="9">
        <f t="shared" si="122"/>
        <v>45.745190000000001</v>
      </c>
      <c r="M59" s="9">
        <f t="shared" si="122"/>
        <v>50.277904999999997</v>
      </c>
      <c r="N59" s="9">
        <f t="shared" si="122"/>
        <v>54.120817000000002</v>
      </c>
      <c r="O59" s="9">
        <f t="shared" ref="O59:P59" si="123">O21/1000000</f>
        <v>57.330347000000003</v>
      </c>
      <c r="P59" s="9">
        <f t="shared" si="123"/>
        <v>61.837612</v>
      </c>
      <c r="Q59" s="9">
        <f t="shared" ref="Q59:R59" si="124">Q21/1000000</f>
        <v>3.3746209999999999</v>
      </c>
      <c r="R59" s="9">
        <f t="shared" si="124"/>
        <v>6.1826489999999996</v>
      </c>
      <c r="S59" s="9">
        <f t="shared" ref="S59:T59" si="125">S21/1000000</f>
        <v>9.5448660000000007</v>
      </c>
      <c r="T59" s="9">
        <f t="shared" si="125"/>
        <v>12.933189</v>
      </c>
      <c r="U59" s="9">
        <f t="shared" ref="U59:V59" si="126">U21/1000000</f>
        <v>17.421049</v>
      </c>
      <c r="V59" s="9">
        <f t="shared" si="126"/>
        <v>22.290405</v>
      </c>
      <c r="W59" s="9">
        <f t="shared" ref="W59:AG59" si="127">W21/1000000</f>
        <v>26.182081</v>
      </c>
      <c r="X59" s="9">
        <f t="shared" ref="X59" si="128">X21/1000000</f>
        <v>35.989248000000003</v>
      </c>
      <c r="Y59" s="9">
        <f t="shared" si="127"/>
        <v>41.813344999999998</v>
      </c>
      <c r="Z59" s="9">
        <f t="shared" si="127"/>
        <v>48.415996999999997</v>
      </c>
      <c r="AA59" s="9">
        <f t="shared" si="127"/>
        <v>57.237051000000001</v>
      </c>
      <c r="AB59" s="9">
        <f t="shared" si="127"/>
        <v>65.135086000000001</v>
      </c>
      <c r="AC59" s="9">
        <f t="shared" si="127"/>
        <v>4.9997980000000002</v>
      </c>
      <c r="AD59" s="9">
        <f t="shared" si="127"/>
        <v>10.176297999999999</v>
      </c>
      <c r="AE59" s="9">
        <f t="shared" si="127"/>
        <v>16.653034999999999</v>
      </c>
      <c r="AF59" s="9">
        <f t="shared" si="127"/>
        <v>21.207809000000001</v>
      </c>
      <c r="AG59" s="9">
        <f t="shared" si="127"/>
        <v>0</v>
      </c>
      <c r="AH59" s="9"/>
    </row>
    <row r="60" spans="4:34" ht="13.5" customHeight="1">
      <c r="D60" t="str">
        <f t="shared" si="3"/>
        <v>22.4.0.0 Citi valsts sociālās apdrošināšanas speciālā budžeta ieņēmumi saskaņā ar normatīvajiem aktiem</v>
      </c>
      <c r="E60" s="9">
        <f t="shared" ref="E60:N60" si="129">E22/1000000</f>
        <v>2.8685779999999999</v>
      </c>
      <c r="F60" s="9">
        <f t="shared" si="129"/>
        <v>9.2472580000000004</v>
      </c>
      <c r="G60" s="9">
        <f t="shared" si="129"/>
        <v>12.275262</v>
      </c>
      <c r="H60" s="9">
        <f t="shared" si="129"/>
        <v>17.362773000000001</v>
      </c>
      <c r="I60" s="9">
        <f t="shared" si="129"/>
        <v>26.069925000000001</v>
      </c>
      <c r="J60" s="9">
        <f t="shared" si="129"/>
        <v>30.518749</v>
      </c>
      <c r="K60" s="9">
        <f t="shared" si="129"/>
        <v>36.222805999999999</v>
      </c>
      <c r="L60" s="9">
        <f t="shared" si="129"/>
        <v>44.6691</v>
      </c>
      <c r="M60" s="9">
        <f t="shared" si="129"/>
        <v>50.801568000000003</v>
      </c>
      <c r="N60" s="9">
        <f t="shared" si="129"/>
        <v>57.130816000000003</v>
      </c>
      <c r="O60" s="9">
        <f t="shared" ref="O60:P60" si="130">O22/1000000</f>
        <v>65.886835000000005</v>
      </c>
      <c r="P60" s="9">
        <f t="shared" si="130"/>
        <v>71.922134999999997</v>
      </c>
      <c r="Q60" s="9">
        <f t="shared" ref="Q60:R60" si="131">Q22/1000000</f>
        <v>29.381547999999999</v>
      </c>
      <c r="R60" s="9">
        <f t="shared" si="131"/>
        <v>35.669457000000001</v>
      </c>
      <c r="S60" s="9">
        <f t="shared" ref="S60:T60" si="132">S22/1000000</f>
        <v>38.581826999999997</v>
      </c>
      <c r="T60" s="9">
        <f t="shared" si="132"/>
        <v>40.617606000000002</v>
      </c>
      <c r="U60" s="9">
        <f t="shared" ref="U60:V60" si="133">U22/1000000</f>
        <v>48.331031000000003</v>
      </c>
      <c r="V60" s="9">
        <f t="shared" si="133"/>
        <v>52.548121000000002</v>
      </c>
      <c r="W60" s="9">
        <f t="shared" ref="W60:AG60" si="134">W22/1000000</f>
        <v>57.753901999999997</v>
      </c>
      <c r="X60" s="9">
        <f t="shared" ref="X60" si="135">X22/1000000</f>
        <v>68.674137999999999</v>
      </c>
      <c r="Y60" s="9">
        <f t="shared" si="134"/>
        <v>73.244273000000007</v>
      </c>
      <c r="Z60" s="9">
        <f t="shared" si="134"/>
        <v>78.774026000000006</v>
      </c>
      <c r="AA60" s="9">
        <f t="shared" si="134"/>
        <v>90.538252999999997</v>
      </c>
      <c r="AB60" s="9">
        <f t="shared" si="134"/>
        <v>96.809692999999996</v>
      </c>
      <c r="AC60" s="9">
        <f t="shared" si="134"/>
        <v>4.7193550000000002</v>
      </c>
      <c r="AD60" s="9">
        <f t="shared" si="134"/>
        <v>14.39784</v>
      </c>
      <c r="AE60" s="9">
        <f t="shared" si="134"/>
        <v>19.011305</v>
      </c>
      <c r="AF60" s="9">
        <f t="shared" si="134"/>
        <v>22.142852000000001</v>
      </c>
      <c r="AG60" s="9">
        <f t="shared" si="134"/>
        <v>0</v>
      </c>
      <c r="AH60" s="9"/>
    </row>
    <row r="61" spans="4:34" ht="13.5" customHeight="1">
      <c r="D61" t="str">
        <f t="shared" si="3"/>
        <v>22.6.0.0 Pārējie valsts sociālās apdrošināšanas speciālā budžeta ieņēmumi</v>
      </c>
      <c r="E61" s="9">
        <f t="shared" ref="E61:N61" si="136">E23/1000000</f>
        <v>3.222E-3</v>
      </c>
      <c r="F61" s="9">
        <f t="shared" si="136"/>
        <v>4.9589999999999999E-3</v>
      </c>
      <c r="G61" s="9">
        <f t="shared" si="136"/>
        <v>7.9080000000000001E-3</v>
      </c>
      <c r="H61" s="9">
        <f t="shared" si="136"/>
        <v>6.0400000000000002E-3</v>
      </c>
      <c r="I61" s="9">
        <f t="shared" si="136"/>
        <v>3.3240000000000001E-3</v>
      </c>
      <c r="J61" s="9">
        <f t="shared" si="136"/>
        <v>6.2579999999999997E-3</v>
      </c>
      <c r="K61" s="9">
        <f t="shared" si="136"/>
        <v>1.266E-3</v>
      </c>
      <c r="L61" s="9">
        <f t="shared" si="136"/>
        <v>1.8929999999999999E-3</v>
      </c>
      <c r="M61" s="9">
        <f t="shared" si="136"/>
        <v>1.3420000000000001E-3</v>
      </c>
      <c r="N61" s="9">
        <f t="shared" si="136"/>
        <v>2.6319999999999998E-3</v>
      </c>
      <c r="O61" s="9">
        <f t="shared" ref="O61:P61" si="137">O23/1000000</f>
        <v>2.0790000000000001E-3</v>
      </c>
      <c r="P61" s="9">
        <f t="shared" si="137"/>
        <v>1.6479999999999999E-3</v>
      </c>
      <c r="Q61" s="9">
        <f t="shared" ref="Q61:R61" si="138">Q23/1000000</f>
        <v>1.4530000000000001E-3</v>
      </c>
      <c r="R61" s="9">
        <f t="shared" si="138"/>
        <v>4.7899999999999999E-4</v>
      </c>
      <c r="S61" s="9">
        <f t="shared" ref="S61:T61" si="139">S23/1000000</f>
        <v>0</v>
      </c>
      <c r="T61" s="9">
        <f t="shared" si="139"/>
        <v>0</v>
      </c>
      <c r="U61" s="9">
        <f t="shared" ref="U61:V61" si="140">U23/1000000</f>
        <v>0</v>
      </c>
      <c r="V61" s="9">
        <f t="shared" si="140"/>
        <v>2.3800000000000001E-4</v>
      </c>
      <c r="W61" s="9">
        <f t="shared" ref="W61:AG61" si="141">W23/1000000</f>
        <v>0</v>
      </c>
      <c r="X61" s="9">
        <f t="shared" ref="X61" si="142">X23/1000000</f>
        <v>0</v>
      </c>
      <c r="Y61" s="9">
        <f t="shared" si="141"/>
        <v>0</v>
      </c>
      <c r="Z61" s="9">
        <f t="shared" si="141"/>
        <v>4.2900000000000002E-4</v>
      </c>
      <c r="AA61" s="9">
        <f t="shared" si="141"/>
        <v>1.2E-4</v>
      </c>
      <c r="AB61" s="9">
        <f t="shared" si="141"/>
        <v>0</v>
      </c>
      <c r="AC61" s="9">
        <f t="shared" si="141"/>
        <v>1.2E-4</v>
      </c>
      <c r="AD61" s="9">
        <f t="shared" si="141"/>
        <v>2.6800000000000001E-4</v>
      </c>
      <c r="AE61" s="9">
        <f t="shared" si="141"/>
        <v>0</v>
      </c>
      <c r="AF61" s="9">
        <f t="shared" si="141"/>
        <v>0</v>
      </c>
      <c r="AG61" s="9">
        <f t="shared" si="141"/>
        <v>0</v>
      </c>
      <c r="AH61" s="9"/>
    </row>
    <row r="64" spans="4:34" ht="13.5" customHeight="1">
      <c r="U64" s="9"/>
    </row>
    <row r="65" spans="4:21" ht="13.5" customHeight="1">
      <c r="D65" s="7"/>
      <c r="U65" s="9"/>
    </row>
    <row r="66" spans="4:21" ht="13.5" customHeight="1">
      <c r="U66" s="9"/>
    </row>
    <row r="67" spans="4:21" ht="13.5" customHeight="1">
      <c r="U67" s="9"/>
    </row>
    <row r="68" spans="4:21" ht="13.5" customHeight="1">
      <c r="U68" s="9"/>
    </row>
    <row r="69" spans="4:21" ht="13.5" customHeight="1">
      <c r="U69" s="9"/>
    </row>
    <row r="70" spans="4:21" ht="13.5" customHeight="1">
      <c r="U70" s="9"/>
    </row>
    <row r="71" spans="4:21" ht="13.5" customHeight="1">
      <c r="U71" s="9"/>
    </row>
    <row r="72" spans="4:21" ht="13.5" customHeight="1">
      <c r="U72" s="9"/>
    </row>
    <row r="73" spans="4:21" ht="13.5" customHeight="1">
      <c r="U73" s="9"/>
    </row>
    <row r="74" spans="4:21" ht="13.5" customHeight="1">
      <c r="U74" s="9"/>
    </row>
    <row r="75" spans="4:21" ht="13.5" customHeight="1">
      <c r="U75" s="9"/>
    </row>
    <row r="76" spans="4:21" ht="13.5" customHeight="1">
      <c r="U76" s="9"/>
    </row>
    <row r="77" spans="4:21" ht="13.5" customHeight="1">
      <c r="U77" s="9"/>
    </row>
    <row r="78" spans="4:21" ht="13.5" customHeight="1">
      <c r="U78" s="9"/>
    </row>
    <row r="79" spans="4:21" ht="13.5" customHeight="1">
      <c r="U79" s="9"/>
    </row>
    <row r="80" spans="4:21" ht="13.5" customHeight="1">
      <c r="U80" s="9"/>
    </row>
    <row r="81" spans="21:21" ht="13.5" customHeight="1">
      <c r="U81" s="9"/>
    </row>
    <row r="82" spans="21:21" ht="13.5" customHeight="1">
      <c r="U82" s="9"/>
    </row>
    <row r="83" spans="21:21" ht="13.5" customHeight="1">
      <c r="U83" s="9"/>
    </row>
    <row r="84" spans="21:21" ht="13.5" customHeight="1">
      <c r="U84" s="9"/>
    </row>
    <row r="85" spans="21:21" ht="13.5" customHeight="1">
      <c r="U85" s="9"/>
    </row>
  </sheetData>
  <sortState xmlns:xlrd2="http://schemas.microsoft.com/office/spreadsheetml/2017/richdata2" ref="K67:L86">
    <sortCondition ref="L67:L86"/>
  </sortState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rgb="FF92D050"/>
  </sheetPr>
  <dimension ref="A1:AS70"/>
  <sheetViews>
    <sheetView topLeftCell="I1" zoomScale="70" zoomScaleNormal="70" workbookViewId="0">
      <selection activeCell="G1" sqref="G1"/>
    </sheetView>
  </sheetViews>
  <sheetFormatPr defaultRowHeight="14.5"/>
  <cols>
    <col min="1" max="2" width="9.1796875" hidden="1" customWidth="1"/>
    <col min="3" max="4" width="9.1796875" style="15" hidden="1" customWidth="1"/>
    <col min="5" max="6" width="9.1796875" hidden="1" customWidth="1"/>
    <col min="7" max="7" width="35.7265625" customWidth="1"/>
    <col min="8" max="11" width="10.1796875" bestFit="1" customWidth="1"/>
    <col min="12" max="12" width="9.54296875" customWidth="1"/>
    <col min="13" max="19" width="10.1796875" bestFit="1" customWidth="1"/>
    <col min="38" max="38" width="9.54296875" customWidth="1"/>
  </cols>
  <sheetData>
    <row r="1" spans="1:35">
      <c r="A1" t="s">
        <v>104</v>
      </c>
      <c r="B1" s="16" t="s">
        <v>133</v>
      </c>
      <c r="G1" t="s">
        <v>37</v>
      </c>
      <c r="AE1" s="9"/>
      <c r="AF1" s="10"/>
      <c r="AG1" s="10"/>
      <c r="AH1" s="9"/>
    </row>
    <row r="2" spans="1:35" ht="21">
      <c r="A2" t="s">
        <v>103</v>
      </c>
      <c r="B2" t="s">
        <v>118</v>
      </c>
      <c r="C2" s="15" t="s">
        <v>120</v>
      </c>
      <c r="D2" s="15" t="s">
        <v>119</v>
      </c>
      <c r="E2" t="s">
        <v>122</v>
      </c>
      <c r="G2" s="7" t="s">
        <v>22</v>
      </c>
      <c r="AG2" s="10"/>
      <c r="AH2" s="87"/>
    </row>
    <row r="3" spans="1:35">
      <c r="A3" t="s">
        <v>105</v>
      </c>
      <c r="B3" s="10">
        <v>20662</v>
      </c>
      <c r="C3" s="17"/>
      <c r="D3" s="17"/>
      <c r="E3" s="77">
        <v>33587.578999999998</v>
      </c>
      <c r="H3" s="8">
        <v>44197</v>
      </c>
      <c r="I3" s="8">
        <v>44228</v>
      </c>
      <c r="J3" s="8">
        <v>44256</v>
      </c>
      <c r="K3" s="8">
        <v>44287</v>
      </c>
      <c r="L3" s="8">
        <v>44317</v>
      </c>
      <c r="M3" s="8">
        <v>44348</v>
      </c>
      <c r="N3" s="8">
        <v>44378</v>
      </c>
      <c r="O3" s="8">
        <v>44409</v>
      </c>
      <c r="P3" s="8">
        <v>44440</v>
      </c>
      <c r="Q3" s="8">
        <v>44470</v>
      </c>
      <c r="R3" s="8">
        <v>44501</v>
      </c>
      <c r="S3" s="8">
        <v>44531</v>
      </c>
      <c r="T3" s="8">
        <v>44562</v>
      </c>
      <c r="U3" s="8">
        <v>44593</v>
      </c>
      <c r="V3" s="8">
        <v>44621</v>
      </c>
      <c r="W3" s="8">
        <v>44652</v>
      </c>
      <c r="X3" s="8">
        <v>44682</v>
      </c>
      <c r="Y3" s="8">
        <v>44713</v>
      </c>
      <c r="Z3" s="8">
        <v>44743</v>
      </c>
      <c r="AA3" s="8">
        <v>44774</v>
      </c>
      <c r="AB3" s="8">
        <v>44805</v>
      </c>
      <c r="AC3" s="8">
        <v>44835</v>
      </c>
      <c r="AD3" s="8">
        <v>44866</v>
      </c>
      <c r="AE3" s="8">
        <v>44896</v>
      </c>
      <c r="AF3" s="8">
        <v>44927</v>
      </c>
      <c r="AG3" s="8">
        <v>44958</v>
      </c>
      <c r="AH3" s="8">
        <v>44986</v>
      </c>
      <c r="AI3" s="8">
        <v>45017</v>
      </c>
    </row>
    <row r="4" spans="1:35">
      <c r="A4" t="s">
        <v>106</v>
      </c>
      <c r="B4" s="10">
        <v>20750</v>
      </c>
      <c r="C4" s="17"/>
      <c r="D4" s="17">
        <f>B4/B3-1</f>
        <v>4.2590262317296901E-3</v>
      </c>
      <c r="E4" s="77">
        <v>33587.578999999998</v>
      </c>
      <c r="G4" t="s">
        <v>26</v>
      </c>
      <c r="H4" s="9">
        <f>IF(MONTH(tabula_kum!E$41)=1,tabula_kum!E42,tabula_kum!E42-tabula_kum!D42)</f>
        <v>782.98600099999999</v>
      </c>
      <c r="I4" s="9">
        <f>IF(MONTH(tabula_kum!F$41)=1,tabula_kum!F42,tabula_kum!F42-tabula_kum!E42)</f>
        <v>734.85206500000004</v>
      </c>
      <c r="J4" s="9">
        <f>IF(MONTH(tabula_kum!G$41)=1,tabula_kum!G42,tabula_kum!G42-tabula_kum!F42)</f>
        <v>637.89151000000015</v>
      </c>
      <c r="K4" s="9">
        <f>IF(MONTH(tabula_kum!H$41)=1,tabula_kum!H42,tabula_kum!H42-tabula_kum!G42)</f>
        <v>864.35033699999985</v>
      </c>
      <c r="L4" s="9">
        <f>IF(MONTH(tabula_kum!I$41)=1,tabula_kum!I42,tabula_kum!I42-tabula_kum!H42)</f>
        <v>850.25307800000019</v>
      </c>
      <c r="M4" s="9">
        <f>IF(MONTH(tabula_kum!J$41)=1,tabula_kum!J42,tabula_kum!J42-tabula_kum!I42)</f>
        <v>768.73838799999976</v>
      </c>
      <c r="N4" s="9">
        <f>IF(MONTH(tabula_kum!K$41)=1,tabula_kum!K42,tabula_kum!K42-tabula_kum!J42)</f>
        <v>922.26225599999998</v>
      </c>
      <c r="O4" s="9">
        <f>IF(MONTH(tabula_kum!L$41)=1,tabula_kum!L42,tabula_kum!L42-tabula_kum!K42)</f>
        <v>901.67418400000042</v>
      </c>
      <c r="P4" s="9">
        <f>IF(MONTH(tabula_kum!M$41)=1,tabula_kum!M42,tabula_kum!M42-tabula_kum!L42)</f>
        <v>852.72558599999957</v>
      </c>
      <c r="Q4" s="9">
        <f>IF(MONTH(tabula_kum!N$41)=1,tabula_kum!N42,tabula_kum!N42-tabula_kum!M42)</f>
        <v>895.87360600000011</v>
      </c>
      <c r="R4" s="9">
        <f>IF(MONTH(tabula_kum!O$41)=1,tabula_kum!O42,tabula_kum!O42-tabula_kum!N42)</f>
        <v>856.46109799999977</v>
      </c>
      <c r="S4" s="9">
        <f>IF(MONTH(tabula_kum!P$41)=1,tabula_kum!P42,tabula_kum!P42-tabula_kum!O42)</f>
        <v>962.93603400000029</v>
      </c>
      <c r="T4" s="10">
        <f>IF(MONTH(tabula_kum!Q$41)=1,tabula_kum!Q42,tabula_kum!Q42-tabula_kum!P42)</f>
        <v>941.79193599999996</v>
      </c>
      <c r="U4" s="9">
        <f>IF(MONTH(tabula_kum!R$41)=1,tabula_kum!R42,tabula_kum!R42-tabula_kum!Q42)</f>
        <v>870.81498900000008</v>
      </c>
      <c r="V4" s="9">
        <f>IF(MONTH(tabula_kum!S$41)=1,tabula_kum!S42,tabula_kum!S42-tabula_kum!R42)</f>
        <v>769.05468500000006</v>
      </c>
      <c r="W4" s="9">
        <f>IF(MONTH(tabula_kum!T$41)=1,tabula_kum!T42,tabula_kum!T42-tabula_kum!S42)</f>
        <v>957.83515200000011</v>
      </c>
      <c r="X4" s="9">
        <f>IF(MONTH(tabula_kum!U$41)=1,tabula_kum!U42,tabula_kum!U42-tabula_kum!T42)</f>
        <v>978.6785589999995</v>
      </c>
      <c r="Y4" s="9">
        <f>IF(MONTH(tabula_kum!V$41)=1,tabula_kum!V42,tabula_kum!V42-tabula_kum!U42)</f>
        <v>888.91623299999992</v>
      </c>
      <c r="Z4" s="22">
        <f>IF(MONTH(tabula_kum!W$41)=1,tabula_kum!W42,tabula_kum!W42-tabula_kum!V42)</f>
        <v>1027.4568880000006</v>
      </c>
      <c r="AA4" s="9">
        <f>IF(MONTH(tabula_kum!X$41)=1,tabula_kum!X42,tabula_kum!X42-tabula_kum!W42)</f>
        <v>969.99408099999982</v>
      </c>
      <c r="AB4" s="9">
        <f>IF(MONTH(tabula_kum!Y$41)=1,tabula_kum!Y42,tabula_kum!Y42-tabula_kum!X42)</f>
        <v>985.43590399999994</v>
      </c>
      <c r="AC4" s="9">
        <f>IF(MONTH(tabula_kum!Z$41)=1,tabula_kum!Z42,tabula_kum!Z42-tabula_kum!Y42)</f>
        <v>1021.6625139999996</v>
      </c>
      <c r="AD4" s="9">
        <f>IF(MONTH(tabula_kum!AA$41)=1,tabula_kum!AA42,tabula_kum!AA42-tabula_kum!Z42)</f>
        <v>1038.2276739999998</v>
      </c>
      <c r="AE4" s="9">
        <f>IF(MONTH(tabula_kum!AB$41)=1,tabula_kum!AB42,tabula_kum!AB42-tabula_kum!AA42)</f>
        <v>1107.4090790000009</v>
      </c>
      <c r="AF4" s="10">
        <f>IF(MONTH(tabula_kum!AC$41)=1,tabula_kum!AC42,tabula_kum!AC42-tabula_kum!AB42)</f>
        <v>1077.162761</v>
      </c>
      <c r="AG4" s="9">
        <f>IF(MONTH(tabula_kum!AD$41)=1,tabula_kum!AD42,tabula_kum!AD42-tabula_kum!AC42)</f>
        <v>983.50424399999974</v>
      </c>
      <c r="AH4" s="9">
        <f>IF(MONTH(tabula_kum!AE$41)=1,tabula_kum!AE42,tabula_kum!AE42-tabula_kum!AD42)</f>
        <v>838.44619000000012</v>
      </c>
      <c r="AI4" s="9">
        <f>IF(MONTH(tabula_kum!AF$41)=1,tabula_kum!AF42,tabula_kum!AF42-tabula_kum!AE42)</f>
        <v>1063.8670010000001</v>
      </c>
    </row>
    <row r="5" spans="1:35">
      <c r="A5" t="s">
        <v>107</v>
      </c>
      <c r="B5" s="10">
        <v>20911</v>
      </c>
      <c r="C5" s="17"/>
      <c r="D5" s="17">
        <f t="shared" ref="D5:D15" si="0">B5/B4-1</f>
        <v>7.7590361445782907E-3</v>
      </c>
      <c r="E5" s="77">
        <v>33587.578999999998</v>
      </c>
      <c r="G5" t="s">
        <v>27</v>
      </c>
      <c r="H5" s="9">
        <f>IF(MONTH(tabula_kum!E$41)=1,tabula_kum!E43,tabula_kum!E43-tabula_kum!D43)</f>
        <v>150.693296</v>
      </c>
      <c r="I5" s="9">
        <f>IF(MONTH(tabula_kum!F$41)=1,tabula_kum!F43,tabula_kum!F43-tabula_kum!E43)</f>
        <v>153.563095</v>
      </c>
      <c r="J5" s="9">
        <f>IF(MONTH(tabula_kum!G$41)=1,tabula_kum!G43,tabula_kum!G43-tabula_kum!F43)</f>
        <v>45.660741999999971</v>
      </c>
      <c r="K5" s="9">
        <f>IF(MONTH(tabula_kum!H$41)=1,tabula_kum!H43,tabula_kum!H43-tabula_kum!G43)</f>
        <v>128.34452000000005</v>
      </c>
      <c r="L5" s="9">
        <f>IF(MONTH(tabula_kum!I$41)=1,tabula_kum!I43,tabula_kum!I43-tabula_kum!H43)</f>
        <v>128.55619100000001</v>
      </c>
      <c r="M5" s="9">
        <f>IF(MONTH(tabula_kum!J$41)=1,tabula_kum!J43,tabula_kum!J43-tabula_kum!I43)</f>
        <v>134.98612099999991</v>
      </c>
      <c r="N5" s="9">
        <f>IF(MONTH(tabula_kum!K$41)=1,tabula_kum!K43,tabula_kum!K43-tabula_kum!J43)</f>
        <v>188.25253300000008</v>
      </c>
      <c r="O5" s="9">
        <f>IF(MONTH(tabula_kum!L$41)=1,tabula_kum!L43,tabula_kum!L43-tabula_kum!K43)</f>
        <v>170.50485999999989</v>
      </c>
      <c r="P5" s="9">
        <f>IF(MONTH(tabula_kum!M$41)=1,tabula_kum!M43,tabula_kum!M43-tabula_kum!L43)</f>
        <v>168.64160800000013</v>
      </c>
      <c r="Q5" s="9">
        <f>IF(MONTH(tabula_kum!N$41)=1,tabula_kum!N43,tabula_kum!N43-tabula_kum!M43)</f>
        <v>269.57514900000001</v>
      </c>
      <c r="R5" s="9">
        <f>IF(MONTH(tabula_kum!O$41)=1,tabula_kum!O43,tabula_kum!O43-tabula_kum!N43)</f>
        <v>167.63411999999994</v>
      </c>
      <c r="S5" s="9">
        <f>IF(MONTH(tabula_kum!P$41)=1,tabula_kum!P43,tabula_kum!P43-tabula_kum!O43)</f>
        <v>220.86456900000007</v>
      </c>
      <c r="T5" s="9">
        <f>IF(MONTH(tabula_kum!Q$41)=1,tabula_kum!Q43,tabula_kum!Q43-tabula_kum!P43)</f>
        <v>230.248965</v>
      </c>
      <c r="U5" s="9">
        <f>IF(MONTH(tabula_kum!R$41)=1,tabula_kum!R43,tabula_kum!R43-tabula_kum!Q43)</f>
        <v>184.558896</v>
      </c>
      <c r="V5" s="9">
        <f>IF(MONTH(tabula_kum!S$41)=1,tabula_kum!S43,tabula_kum!S43-tabula_kum!R43)</f>
        <v>65.002210999999988</v>
      </c>
      <c r="W5" s="9">
        <f>IF(MONTH(tabula_kum!T$41)=1,tabula_kum!T43,tabula_kum!T43-tabula_kum!S43)</f>
        <v>165.30697299999997</v>
      </c>
      <c r="X5" s="9">
        <f>IF(MONTH(tabula_kum!U$41)=1,tabula_kum!U43,tabula_kum!U43-tabula_kum!T43)</f>
        <v>175.24344700000006</v>
      </c>
      <c r="Y5" s="9">
        <f>IF(MONTH(tabula_kum!V$41)=1,tabula_kum!V43,tabula_kum!V43-tabula_kum!U43)</f>
        <v>193.47165899999993</v>
      </c>
      <c r="Z5" s="9">
        <f>IF(MONTH(tabula_kum!W$41)=1,tabula_kum!W43,tabula_kum!W43-tabula_kum!V43)</f>
        <v>220.96358700000008</v>
      </c>
      <c r="AA5" s="9">
        <f>IF(MONTH(tabula_kum!X$41)=1,tabula_kum!X43,tabula_kum!X43-tabula_kum!W43)</f>
        <v>202.01731199999995</v>
      </c>
      <c r="AB5" s="9">
        <f>IF(MONTH(tabula_kum!Y$41)=1,tabula_kum!Y43,tabula_kum!Y43-tabula_kum!X43)</f>
        <v>208.38990699999999</v>
      </c>
      <c r="AC5" s="9">
        <f>IF(MONTH(tabula_kum!Z$41)=1,tabula_kum!Z43,tabula_kum!Z43-tabula_kum!Y43)</f>
        <v>217.09081200000014</v>
      </c>
      <c r="AD5" s="9">
        <f>IF(MONTH(tabula_kum!AA$41)=1,tabula_kum!AA43,tabula_kum!AA43-tabula_kum!Z43)</f>
        <v>200.2854649999997</v>
      </c>
      <c r="AE5" s="9">
        <f>IF(MONTH(tabula_kum!AB$41)=1,tabula_kum!AB43,tabula_kum!AB43-tabula_kum!AA43)</f>
        <v>199.89776400000028</v>
      </c>
      <c r="AF5" s="10">
        <f>IF(MONTH(tabula_kum!AC$41)=1,tabula_kum!AC43,tabula_kum!AC43-tabula_kum!AB43)</f>
        <v>239.533996</v>
      </c>
      <c r="AG5" s="9">
        <f>IF(MONTH(tabula_kum!AD$41)=1,tabula_kum!AD43,tabula_kum!AD43-tabula_kum!AC43)</f>
        <v>203.94499200000001</v>
      </c>
      <c r="AH5" s="9">
        <f>IF(MONTH(tabula_kum!AE$41)=1,tabula_kum!AE43,tabula_kum!AE43-tabula_kum!AD43)</f>
        <v>69.210313999999983</v>
      </c>
      <c r="AI5" s="9">
        <f>IF(MONTH(tabula_kum!AF$41)=1,tabula_kum!AF43,tabula_kum!AF43-tabula_kum!AE43)</f>
        <v>176.94750699999997</v>
      </c>
    </row>
    <row r="6" spans="1:35">
      <c r="A6" t="s">
        <v>108</v>
      </c>
      <c r="B6" s="10">
        <v>21091</v>
      </c>
      <c r="C6" s="17"/>
      <c r="D6" s="17">
        <f t="shared" si="0"/>
        <v>8.6079097125915105E-3</v>
      </c>
      <c r="E6" s="77">
        <v>33587.578999999998</v>
      </c>
      <c r="G6" t="s">
        <v>28</v>
      </c>
      <c r="H6" s="9">
        <f>IF(MONTH(tabula_kum!E$41)=1,tabula_kum!E44,tabula_kum!E44-tabula_kum!D44)</f>
        <v>21.150621999999998</v>
      </c>
      <c r="I6" s="9">
        <f>IF(MONTH(tabula_kum!F$41)=1,tabula_kum!F44,tabula_kum!F44-tabula_kum!E44)</f>
        <v>8.1905990000000024</v>
      </c>
      <c r="J6" s="9">
        <f>IF(MONTH(tabula_kum!G$41)=1,tabula_kum!G44,tabula_kum!G44-tabula_kum!F44)</f>
        <v>15.553265999999997</v>
      </c>
      <c r="K6" s="9">
        <f>IF(MONTH(tabula_kum!H$41)=1,tabula_kum!H44,tabula_kum!H44-tabula_kum!G44)</f>
        <v>47.546597000000006</v>
      </c>
      <c r="L6" s="9">
        <f>IF(MONTH(tabula_kum!I$41)=1,tabula_kum!I44,tabula_kum!I44-tabula_kum!H44)</f>
        <v>36.815853999999987</v>
      </c>
      <c r="M6" s="9">
        <f>IF(MONTH(tabula_kum!J$41)=1,tabula_kum!J44,tabula_kum!J44-tabula_kum!I44)</f>
        <v>41.259418000000011</v>
      </c>
      <c r="N6" s="9">
        <f>IF(MONTH(tabula_kum!K$41)=1,tabula_kum!K44,tabula_kum!K44-tabula_kum!J44)</f>
        <v>26.677355000000006</v>
      </c>
      <c r="O6" s="9">
        <f>IF(MONTH(tabula_kum!L$41)=1,tabula_kum!L44,tabula_kum!L44-tabula_kum!K44)</f>
        <v>26.080296000000004</v>
      </c>
      <c r="P6" s="9">
        <f>IF(MONTH(tabula_kum!M$41)=1,tabula_kum!M44,tabula_kum!M44-tabula_kum!L44)</f>
        <v>14.512897999999979</v>
      </c>
      <c r="Q6" s="9">
        <f>IF(MONTH(tabula_kum!N$41)=1,tabula_kum!N44,tabula_kum!N44-tabula_kum!M44)</f>
        <v>23.384589000000005</v>
      </c>
      <c r="R6" s="9">
        <f>IF(MONTH(tabula_kum!O$41)=1,tabula_kum!O44,tabula_kum!O44-tabula_kum!N44)</f>
        <v>28.751220999999987</v>
      </c>
      <c r="S6" s="9">
        <f>IF(MONTH(tabula_kum!P$41)=1,tabula_kum!P44,tabula_kum!P44-tabula_kum!O44)</f>
        <v>-8.8433309999999778</v>
      </c>
      <c r="T6" s="9">
        <f>IF(MONTH(tabula_kum!Q$41)=1,tabula_kum!Q44,tabula_kum!Q44-tabula_kum!P44)</f>
        <v>36.645933999999997</v>
      </c>
      <c r="U6" s="9">
        <f>IF(MONTH(tabula_kum!R$41)=1,tabula_kum!R44,tabula_kum!R44-tabula_kum!Q44)</f>
        <v>28.807556000000005</v>
      </c>
      <c r="V6" s="9">
        <f>IF(MONTH(tabula_kum!S$41)=1,tabula_kum!S44,tabula_kum!S44-tabula_kum!R44)</f>
        <v>18.876081999999997</v>
      </c>
      <c r="W6" s="9">
        <f>IF(MONTH(tabula_kum!T$41)=1,tabula_kum!T44,tabula_kum!T44-tabula_kum!S44)</f>
        <v>34.442598000000004</v>
      </c>
      <c r="X6" s="9">
        <f>IF(MONTH(tabula_kum!U$41)=1,tabula_kum!U44,tabula_kum!U44-tabula_kum!T44)</f>
        <v>49.467463999999993</v>
      </c>
      <c r="Y6" s="9">
        <f>IF(MONTH(tabula_kum!V$41)=1,tabula_kum!V44,tabula_kum!V44-tabula_kum!U44)</f>
        <v>44.263114999999999</v>
      </c>
      <c r="Z6" s="9">
        <f>IF(MONTH(tabula_kum!W$41)=1,tabula_kum!W44,tabula_kum!W44-tabula_kum!V44)</f>
        <v>27.860117000000002</v>
      </c>
      <c r="AA6" s="9">
        <f>IF(MONTH(tabula_kum!X$41)=1,tabula_kum!X44,tabula_kum!X44-tabula_kum!W44)</f>
        <v>31.240998999999988</v>
      </c>
      <c r="AB6" s="9">
        <f>IF(MONTH(tabula_kum!Y$41)=1,tabula_kum!Y44,tabula_kum!Y44-tabula_kum!X44)</f>
        <v>25.169040999999993</v>
      </c>
      <c r="AC6" s="9">
        <f>IF(MONTH(tabula_kum!Z$41)=1,tabula_kum!Z44,tabula_kum!Z44-tabula_kum!Y44)</f>
        <v>29.345911000000001</v>
      </c>
      <c r="AD6" s="9">
        <f>IF(MONTH(tabula_kum!AA$41)=1,tabula_kum!AA44,tabula_kum!AA44-tabula_kum!Z44)</f>
        <v>24.259136000000012</v>
      </c>
      <c r="AE6" s="9">
        <f>IF(MONTH(tabula_kum!AB$41)=1,tabula_kum!AB44,tabula_kum!AB44-tabula_kum!AA44)</f>
        <v>28.37249300000002</v>
      </c>
      <c r="AF6" s="86">
        <f>IF(MONTH(tabula_kum!AC$41)=1,tabula_kum!AC44,tabula_kum!AC44-tabula_kum!AB44)</f>
        <v>61.791103</v>
      </c>
      <c r="AG6" s="9">
        <f>IF(MONTH(tabula_kum!AD$41)=1,tabula_kum!AD44,tabula_kum!AD44-tabula_kum!AC44)</f>
        <v>19.323077000000005</v>
      </c>
      <c r="AH6" s="9">
        <f>IF(MONTH(tabula_kum!AE$41)=1,tabula_kum!AE44,tabula_kum!AE44-tabula_kum!AD44)</f>
        <v>31.007725999999991</v>
      </c>
      <c r="AI6" s="9">
        <f>IF(MONTH(tabula_kum!AF$41)=1,tabula_kum!AF44,tabula_kum!AF44-tabula_kum!AE44)</f>
        <v>47.875981999999993</v>
      </c>
    </row>
    <row r="7" spans="1:35">
      <c r="A7" t="s">
        <v>109</v>
      </c>
      <c r="B7" s="10">
        <v>21200</v>
      </c>
      <c r="C7" s="17"/>
      <c r="D7" s="17">
        <f t="shared" si="0"/>
        <v>5.1680811720640207E-3</v>
      </c>
      <c r="E7" s="77">
        <v>33587.578999999998</v>
      </c>
      <c r="G7" t="s">
        <v>29</v>
      </c>
      <c r="H7" s="9">
        <f>IF(MONTH(tabula_kum!E$41)=1,tabula_kum!E45,tabula_kum!E45-tabula_kum!D45)</f>
        <v>164.800017</v>
      </c>
      <c r="I7" s="9">
        <f>IF(MONTH(tabula_kum!F$41)=1,tabula_kum!F45,tabula_kum!F45-tabula_kum!E45)</f>
        <v>218.091015</v>
      </c>
      <c r="J7" s="9">
        <f>IF(MONTH(tabula_kum!G$41)=1,tabula_kum!G45,tabula_kum!G45-tabula_kum!F45)</f>
        <v>220.95002299999999</v>
      </c>
      <c r="K7" s="9">
        <f>IF(MONTH(tabula_kum!H$41)=1,tabula_kum!H45,tabula_kum!H45-tabula_kum!G45)</f>
        <v>255.257249</v>
      </c>
      <c r="L7" s="9">
        <f>IF(MONTH(tabula_kum!I$41)=1,tabula_kum!I45,tabula_kum!I45-tabula_kum!H45)</f>
        <v>254.32611000000009</v>
      </c>
      <c r="M7" s="9">
        <f>IF(MONTH(tabula_kum!J$41)=1,tabula_kum!J45,tabula_kum!J45-tabula_kum!I45)</f>
        <v>253.08305599999994</v>
      </c>
      <c r="N7" s="9">
        <f>IF(MONTH(tabula_kum!K$41)=1,tabula_kum!K45,tabula_kum!K45-tabula_kum!J45)</f>
        <v>284.50926299999992</v>
      </c>
      <c r="O7" s="9">
        <f>IF(MONTH(tabula_kum!L$41)=1,tabula_kum!L45,tabula_kum!L45-tabula_kum!K45)</f>
        <v>279.48490900000002</v>
      </c>
      <c r="P7" s="9">
        <f>IF(MONTH(tabula_kum!M$41)=1,tabula_kum!M45,tabula_kum!M45-tabula_kum!L45)</f>
        <v>273.8999980000001</v>
      </c>
      <c r="Q7" s="9">
        <f>IF(MONTH(tabula_kum!N$41)=1,tabula_kum!N45,tabula_kum!N45-tabula_kum!M45)</f>
        <v>263.7642350000001</v>
      </c>
      <c r="R7" s="9">
        <f>IF(MONTH(tabula_kum!O$41)=1,tabula_kum!O45,tabula_kum!O45-tabula_kum!N45)</f>
        <v>238.66714400000001</v>
      </c>
      <c r="S7" s="9">
        <f>IF(MONTH(tabula_kum!P$41)=1,tabula_kum!P45,tabula_kum!P45-tabula_kum!O45)</f>
        <v>414.23251699999992</v>
      </c>
      <c r="T7" s="9">
        <f>IF(MONTH(tabula_kum!Q$41)=1,tabula_kum!Q45,tabula_kum!Q45-tabula_kum!P45)</f>
        <v>333.47692799999999</v>
      </c>
      <c r="U7" s="9">
        <f>IF(MONTH(tabula_kum!R$41)=1,tabula_kum!R45,tabula_kum!R45-tabula_kum!Q45)</f>
        <v>272.47740800000003</v>
      </c>
      <c r="V7" s="9">
        <f>IF(MONTH(tabula_kum!S$41)=1,tabula_kum!S45,tabula_kum!S45-tabula_kum!R45)</f>
        <v>277.09401300000002</v>
      </c>
      <c r="W7" s="9">
        <f>IF(MONTH(tabula_kum!T$41)=1,tabula_kum!T45,tabula_kum!T45-tabula_kum!S45)</f>
        <v>295.57084500000008</v>
      </c>
      <c r="X7" s="9">
        <f>IF(MONTH(tabula_kum!U$41)=1,tabula_kum!U45,tabula_kum!U45-tabula_kum!T45)</f>
        <v>313.84588599999984</v>
      </c>
      <c r="Y7" s="9">
        <f>IF(MONTH(tabula_kum!V$41)=1,tabula_kum!V45,tabula_kum!V45-tabula_kum!U45)</f>
        <v>318.98133200000007</v>
      </c>
      <c r="Z7" s="9">
        <f>IF(MONTH(tabula_kum!W$41)=1,tabula_kum!W45,tabula_kum!W45-tabula_kum!V45)</f>
        <v>308.24038399999995</v>
      </c>
      <c r="AA7" s="9">
        <f>IF(MONTH(tabula_kum!X$41)=1,tabula_kum!X45,tabula_kum!X45-tabula_kum!W45)</f>
        <v>303.84380999999985</v>
      </c>
      <c r="AB7" s="9">
        <f>IF(MONTH(tabula_kum!Y$41)=1,tabula_kum!Y45,tabula_kum!Y45-tabula_kum!X45)</f>
        <v>324.38634600000023</v>
      </c>
      <c r="AC7" s="9">
        <f>IF(MONTH(tabula_kum!Z$41)=1,tabula_kum!Z45,tabula_kum!Z45-tabula_kum!Y45)</f>
        <v>335.20633300000009</v>
      </c>
      <c r="AD7" s="9">
        <f>IF(MONTH(tabula_kum!AA$41)=1,tabula_kum!AA45,tabula_kum!AA45-tabula_kum!Z45)</f>
        <v>301.93006699999978</v>
      </c>
      <c r="AE7" s="9">
        <f>IF(MONTH(tabula_kum!AB$41)=1,tabula_kum!AB45,tabula_kum!AB45-tabula_kum!AA45)</f>
        <v>282.16279299999997</v>
      </c>
      <c r="AF7" s="10">
        <f>IF(MONTH(tabula_kum!AC$41)=1,tabula_kum!AC45,tabula_kum!AC45-tabula_kum!AB45)</f>
        <v>371.69686000000002</v>
      </c>
      <c r="AG7" s="9">
        <f>IF(MONTH(tabula_kum!AD$41)=1,tabula_kum!AD45,tabula_kum!AD45-tabula_kum!AC45)</f>
        <v>304.65934900000002</v>
      </c>
      <c r="AH7" s="9">
        <f>IF(MONTH(tabula_kum!AE$41)=1,tabula_kum!AE45,tabula_kum!AE45-tabula_kum!AD45)</f>
        <v>251.64926199999991</v>
      </c>
      <c r="AI7" s="9">
        <f>IF(MONTH(tabula_kum!AF$41)=1,tabula_kum!AF45,tabula_kum!AF45-tabula_kum!AE45)</f>
        <v>344.90570700000012</v>
      </c>
    </row>
    <row r="8" spans="1:35">
      <c r="A8" t="s">
        <v>110</v>
      </c>
      <c r="B8" s="10">
        <v>21261</v>
      </c>
      <c r="C8" s="17"/>
      <c r="D8" s="17">
        <f t="shared" si="0"/>
        <v>2.8773584905661398E-3</v>
      </c>
      <c r="E8" s="77">
        <v>33587.578999999998</v>
      </c>
      <c r="G8" t="s">
        <v>30</v>
      </c>
      <c r="H8" s="9">
        <f>IF(MONTH(tabula_kum!E$41)=1,tabula_kum!E46,tabula_kum!E46-tabula_kum!D46)</f>
        <v>108.444799</v>
      </c>
      <c r="I8" s="9">
        <f>IF(MONTH(tabula_kum!F$41)=1,tabula_kum!F46,tabula_kum!F46-tabula_kum!E46)</f>
        <v>16.010897</v>
      </c>
      <c r="J8" s="9">
        <f>IF(MONTH(tabula_kum!G$41)=1,tabula_kum!G46,tabula_kum!G46-tabula_kum!F46)</f>
        <v>46.65334</v>
      </c>
      <c r="K8" s="9">
        <f>IF(MONTH(tabula_kum!H$41)=1,tabula_kum!H46,tabula_kum!H46-tabula_kum!G46)</f>
        <v>57.285142000000008</v>
      </c>
      <c r="L8" s="9">
        <f>IF(MONTH(tabula_kum!I$41)=1,tabula_kum!I46,tabula_kum!I46-tabula_kum!H46)</f>
        <v>74.044946999999979</v>
      </c>
      <c r="M8" s="9">
        <f>IF(MONTH(tabula_kum!J$41)=1,tabula_kum!J46,tabula_kum!J46-tabula_kum!I46)</f>
        <v>-38.021982999999977</v>
      </c>
      <c r="N8" s="9">
        <f>IF(MONTH(tabula_kum!K$41)=1,tabula_kum!K46,tabula_kum!K46-tabula_kum!J46)</f>
        <v>6.8669709999999782</v>
      </c>
      <c r="O8" s="9">
        <f>IF(MONTH(tabula_kum!L$41)=1,tabula_kum!L46,tabula_kum!L46-tabula_kum!K46)</f>
        <v>4.1647899999999822</v>
      </c>
      <c r="P8" s="9">
        <f>IF(MONTH(tabula_kum!M$41)=1,tabula_kum!M46,tabula_kum!M46-tabula_kum!L46)</f>
        <v>15.174666999999999</v>
      </c>
      <c r="Q8" s="9">
        <f>IF(MONTH(tabula_kum!N$41)=1,tabula_kum!N46,tabula_kum!N46-tabula_kum!M46)</f>
        <v>-78.061942999999985</v>
      </c>
      <c r="R8" s="9">
        <f>IF(MONTH(tabula_kum!O$41)=1,tabula_kum!O46,tabula_kum!O46-tabula_kum!N46)</f>
        <v>43.919421</v>
      </c>
      <c r="S8" s="9">
        <f>IF(MONTH(tabula_kum!P$41)=1,tabula_kum!P46,tabula_kum!P46-tabula_kum!O46)</f>
        <v>89.553414000000032</v>
      </c>
      <c r="T8" s="9">
        <f>IF(MONTH(tabula_kum!Q$41)=1,tabula_kum!Q46,tabula_kum!Q46-tabula_kum!P46)</f>
        <v>-100.505827</v>
      </c>
      <c r="U8" s="9">
        <f>IF(MONTH(tabula_kum!R$41)=1,tabula_kum!R46,tabula_kum!R46-tabula_kum!Q46)</f>
        <v>9.4562999999993735E-2</v>
      </c>
      <c r="V8" s="9">
        <f>IF(MONTH(tabula_kum!S$41)=1,tabula_kum!S46,tabula_kum!S46-tabula_kum!R46)</f>
        <v>39.035239000000004</v>
      </c>
      <c r="W8" s="9">
        <f>IF(MONTH(tabula_kum!T$41)=1,tabula_kum!T46,tabula_kum!T46-tabula_kum!S46)</f>
        <v>4.7994270000000014</v>
      </c>
      <c r="X8" s="9">
        <f>IF(MONTH(tabula_kum!U$41)=1,tabula_kum!U46,tabula_kum!U46-tabula_kum!T46)</f>
        <v>59.771283999999994</v>
      </c>
      <c r="Y8" s="9">
        <f>IF(MONTH(tabula_kum!V$41)=1,tabula_kum!V46,tabula_kum!V46-tabula_kum!U46)</f>
        <v>-106.985738</v>
      </c>
      <c r="Z8" s="9">
        <f>IF(MONTH(tabula_kum!W$41)=1,tabula_kum!W46,tabula_kum!W46-tabula_kum!V46)</f>
        <v>10.12218399999999</v>
      </c>
      <c r="AA8" s="9">
        <f>IF(MONTH(tabula_kum!X$41)=1,tabula_kum!X46,tabula_kum!X46-tabula_kum!W46)</f>
        <v>-22.738039000000001</v>
      </c>
      <c r="AB8" s="9">
        <f>IF(MONTH(tabula_kum!Y$41)=1,tabula_kum!Y46,tabula_kum!Y46-tabula_kum!X46)</f>
        <v>16.212696000000008</v>
      </c>
      <c r="AC8" s="9">
        <f>IF(MONTH(tabula_kum!Z$41)=1,tabula_kum!Z46,tabula_kum!Z46-tabula_kum!Y46)</f>
        <v>-26.931325000000001</v>
      </c>
      <c r="AD8" s="9">
        <f>IF(MONTH(tabula_kum!AA$41)=1,tabula_kum!AA46,tabula_kum!AA46-tabula_kum!Z46)</f>
        <v>5.1394459999999924</v>
      </c>
      <c r="AE8" s="9">
        <f>IF(MONTH(tabula_kum!AB$41)=1,tabula_kum!AB46,tabula_kum!AB46-tabula_kum!AA46)</f>
        <v>139.842378</v>
      </c>
      <c r="AF8" s="10">
        <f>IF(MONTH(tabula_kum!AC$41)=1,tabula_kum!AC46,tabula_kum!AC46-tabula_kum!AB46)</f>
        <v>-129.655012</v>
      </c>
      <c r="AG8" s="9">
        <f>IF(MONTH(tabula_kum!AD$41)=1,tabula_kum!AD46,tabula_kum!AD46-tabula_kum!AC46)</f>
        <v>6.4317829999999958</v>
      </c>
      <c r="AH8" s="9">
        <f>IF(MONTH(tabula_kum!AE$41)=1,tabula_kum!AE46,tabula_kum!AE46-tabula_kum!AD46)</f>
        <v>-11.924211999999983</v>
      </c>
      <c r="AI8" s="9">
        <f>IF(MONTH(tabula_kum!AF$41)=1,tabula_kum!AF46,tabula_kum!AF46-tabula_kum!AE46)</f>
        <v>18.271029999999982</v>
      </c>
    </row>
    <row r="9" spans="1:35">
      <c r="A9" t="s">
        <v>111</v>
      </c>
      <c r="B9" s="10">
        <v>21338</v>
      </c>
      <c r="C9" s="17"/>
      <c r="D9" s="17">
        <f t="shared" si="0"/>
        <v>3.6216546728751187E-3</v>
      </c>
      <c r="E9" s="77">
        <v>33587.578999999998</v>
      </c>
      <c r="G9" t="s">
        <v>31</v>
      </c>
      <c r="H9" s="9">
        <f>IF(MONTH(tabula_kum!E$41)=1,tabula_kum!E47,tabula_kum!E47-tabula_kum!D47)</f>
        <v>6.1581289999999997</v>
      </c>
      <c r="I9" s="9">
        <f>IF(MONTH(tabula_kum!F$41)=1,tabula_kum!F47,tabula_kum!F47-tabula_kum!E47)</f>
        <v>39.771924999999996</v>
      </c>
      <c r="J9" s="9">
        <f>IF(MONTH(tabula_kum!G$41)=1,tabula_kum!G47,tabula_kum!G47-tabula_kum!F47)</f>
        <v>46.238939000000002</v>
      </c>
      <c r="K9" s="9">
        <f>IF(MONTH(tabula_kum!H$41)=1,tabula_kum!H47,tabula_kum!H47-tabula_kum!G47)</f>
        <v>10.951328000000004</v>
      </c>
      <c r="L9" s="9">
        <f>IF(MONTH(tabula_kum!I$41)=1,tabula_kum!I47,tabula_kum!I47-tabula_kum!H47)</f>
        <v>23.32688499999999</v>
      </c>
      <c r="M9" s="9">
        <f>IF(MONTH(tabula_kum!J$41)=1,tabula_kum!J47,tabula_kum!J47-tabula_kum!I47)</f>
        <v>14.158128000000005</v>
      </c>
      <c r="N9" s="9">
        <f>IF(MONTH(tabula_kum!K$41)=1,tabula_kum!K47,tabula_kum!K47-tabula_kum!J47)</f>
        <v>7.8665149999999926</v>
      </c>
      <c r="O9" s="9">
        <f>IF(MONTH(tabula_kum!L$41)=1,tabula_kum!L47,tabula_kum!L47-tabula_kum!K47)</f>
        <v>28.715468000000016</v>
      </c>
      <c r="P9" s="9">
        <f>IF(MONTH(tabula_kum!M$41)=1,tabula_kum!M47,tabula_kum!M47-tabula_kum!L47)</f>
        <v>6.7230019999999797</v>
      </c>
      <c r="Q9" s="9">
        <f>IF(MONTH(tabula_kum!N$41)=1,tabula_kum!N47,tabula_kum!N47-tabula_kum!M47)</f>
        <v>8.0683060000000069</v>
      </c>
      <c r="R9" s="9">
        <f>IF(MONTH(tabula_kum!O$41)=1,tabula_kum!O47,tabula_kum!O47-tabula_kum!N47)</f>
        <v>26.716870999999998</v>
      </c>
      <c r="S9" s="9">
        <f>IF(MONTH(tabula_kum!P$41)=1,tabula_kum!P47,tabula_kum!P47-tabula_kum!O47)</f>
        <v>7.4823910000000069</v>
      </c>
      <c r="T9" s="9">
        <f>IF(MONTH(tabula_kum!Q$41)=1,tabula_kum!Q47,tabula_kum!Q47-tabula_kum!P47)</f>
        <v>4.8988370000000003</v>
      </c>
      <c r="U9" s="9">
        <f>IF(MONTH(tabula_kum!R$41)=1,tabula_kum!R47,tabula_kum!R47-tabula_kum!Q47)</f>
        <v>39.58764</v>
      </c>
      <c r="V9" s="9">
        <f>IF(MONTH(tabula_kum!S$41)=1,tabula_kum!S47,tabula_kum!S47-tabula_kum!R47)</f>
        <v>50.308856999999996</v>
      </c>
      <c r="W9" s="9">
        <f>IF(MONTH(tabula_kum!T$41)=1,tabula_kum!T47,tabula_kum!T47-tabula_kum!S47)</f>
        <v>12.756591999999998</v>
      </c>
      <c r="X9" s="9">
        <f>IF(MONTH(tabula_kum!U$41)=1,tabula_kum!U47,tabula_kum!U47-tabula_kum!T47)</f>
        <v>24.447791000000009</v>
      </c>
      <c r="Y9" s="9">
        <f>IF(MONTH(tabula_kum!V$41)=1,tabula_kum!V47,tabula_kum!V47-tabula_kum!U47)</f>
        <v>9.1704019999999957</v>
      </c>
      <c r="Z9" s="9">
        <f>IF(MONTH(tabula_kum!W$41)=1,tabula_kum!W47,tabula_kum!W47-tabula_kum!V47)</f>
        <v>9.2611980000000074</v>
      </c>
      <c r="AA9" s="9">
        <f>IF(MONTH(tabula_kum!X$41)=1,tabula_kum!X47,tabula_kum!X47-tabula_kum!W47)</f>
        <v>31.817396000000002</v>
      </c>
      <c r="AB9" s="9">
        <f>IF(MONTH(tabula_kum!Y$41)=1,tabula_kum!Y47,tabula_kum!Y47-tabula_kum!X47)</f>
        <v>7.0992469999999912</v>
      </c>
      <c r="AC9" s="9">
        <f>IF(MONTH(tabula_kum!Z$41)=1,tabula_kum!Z47,tabula_kum!Z47-tabula_kum!Y47)</f>
        <v>8.2991890000000126</v>
      </c>
      <c r="AD9" s="9">
        <f>IF(MONTH(tabula_kum!AA$41)=1,tabula_kum!AA47,tabula_kum!AA47-tabula_kum!Z47)</f>
        <v>25.670682999999997</v>
      </c>
      <c r="AE9" s="9">
        <f>IF(MONTH(tabula_kum!AB$41)=1,tabula_kum!AB47,tabula_kum!AB47-tabula_kum!AA47)</f>
        <v>7.2896719999999959</v>
      </c>
      <c r="AF9" s="10">
        <f>IF(MONTH(tabula_kum!AC$41)=1,tabula_kum!AC47,tabula_kum!AC47-tabula_kum!AB47)</f>
        <v>0</v>
      </c>
      <c r="AG9" s="9">
        <f>IF(MONTH(tabula_kum!AD$41)=1,tabula_kum!AD47,tabula_kum!AD47-tabula_kum!AC47)</f>
        <v>49.241672999999999</v>
      </c>
      <c r="AH9" s="9">
        <f>IF(MONTH(tabula_kum!AE$41)=1,tabula_kum!AE47,tabula_kum!AE47-tabula_kum!AD47)</f>
        <v>57.195602000000001</v>
      </c>
      <c r="AI9" s="9">
        <f>IF(MONTH(tabula_kum!AF$41)=1,tabula_kum!AF47,tabula_kum!AF47-tabula_kum!AE47)</f>
        <v>11.934793999999997</v>
      </c>
    </row>
    <row r="10" spans="1:35">
      <c r="A10" t="s">
        <v>112</v>
      </c>
      <c r="B10" s="10">
        <v>21418</v>
      </c>
      <c r="C10" s="17"/>
      <c r="D10" s="17">
        <f t="shared" si="0"/>
        <v>3.7491798669040399E-3</v>
      </c>
      <c r="E10" s="77">
        <v>33587.578999999998</v>
      </c>
      <c r="G10" t="s">
        <v>32</v>
      </c>
      <c r="H10" s="9">
        <f>IF(MONTH(tabula_kum!E$41)=1,tabula_kum!E48,tabula_kum!E48-tabula_kum!D48)</f>
        <v>4.4934029999999998</v>
      </c>
      <c r="I10" s="9">
        <f>IF(MONTH(tabula_kum!F$41)=1,tabula_kum!F48,tabula_kum!F48-tabula_kum!E48)</f>
        <v>3.8957170000000003</v>
      </c>
      <c r="J10" s="9">
        <f>IF(MONTH(tabula_kum!G$41)=1,tabula_kum!G48,tabula_kum!G48-tabula_kum!F48)</f>
        <v>4.660342</v>
      </c>
      <c r="K10" s="9">
        <f>IF(MONTH(tabula_kum!H$41)=1,tabula_kum!H48,tabula_kum!H48-tabula_kum!G48)</f>
        <v>5.8040479999999999</v>
      </c>
      <c r="L10" s="9">
        <f>IF(MONTH(tabula_kum!I$41)=1,tabula_kum!I48,tabula_kum!I48-tabula_kum!H48)</f>
        <v>5.0070779999999999</v>
      </c>
      <c r="M10" s="9">
        <f>IF(MONTH(tabula_kum!J$41)=1,tabula_kum!J48,tabula_kum!J48-tabula_kum!I48)</f>
        <v>5.1973240000000018</v>
      </c>
      <c r="N10" s="9">
        <f>IF(MONTH(tabula_kum!K$41)=1,tabula_kum!K48,tabula_kum!K48-tabula_kum!J48)</f>
        <v>5.7530709999999985</v>
      </c>
      <c r="O10" s="9">
        <f>IF(MONTH(tabula_kum!L$41)=1,tabula_kum!L48,tabula_kum!L48-tabula_kum!K48)</f>
        <v>5.8182619999999972</v>
      </c>
      <c r="P10" s="9">
        <f>IF(MONTH(tabula_kum!M$41)=1,tabula_kum!M48,tabula_kum!M48-tabula_kum!L48)</f>
        <v>6.4241209999999995</v>
      </c>
      <c r="Q10" s="9">
        <f>IF(MONTH(tabula_kum!N$41)=1,tabula_kum!N48,tabula_kum!N48-tabula_kum!M48)</f>
        <v>7.6081080000000014</v>
      </c>
      <c r="R10" s="9">
        <f>IF(MONTH(tabula_kum!O$41)=1,tabula_kum!O48,tabula_kum!O48-tabula_kum!N48)</f>
        <v>7.7492840000000029</v>
      </c>
      <c r="S10" s="9">
        <f>IF(MONTH(tabula_kum!P$41)=1,tabula_kum!P48,tabula_kum!P48-tabula_kum!O48)</f>
        <v>8.3219279999999998</v>
      </c>
      <c r="T10" s="9">
        <f>IF(MONTH(tabula_kum!Q$41)=1,tabula_kum!Q48,tabula_kum!Q48-tabula_kum!P48)</f>
        <v>10.190892</v>
      </c>
      <c r="U10" s="9">
        <f>IF(MONTH(tabula_kum!R$41)=1,tabula_kum!R48,tabula_kum!R48-tabula_kum!Q48)</f>
        <v>6.0822459999999996</v>
      </c>
      <c r="V10" s="9">
        <f>IF(MONTH(tabula_kum!S$41)=1,tabula_kum!S48,tabula_kum!S48-tabula_kum!R48)</f>
        <v>7.6192409999999988</v>
      </c>
      <c r="W10" s="9">
        <f>IF(MONTH(tabula_kum!T$41)=1,tabula_kum!T48,tabula_kum!T48-tabula_kum!S48)</f>
        <v>7.6067240000000034</v>
      </c>
      <c r="X10" s="9">
        <f>IF(MONTH(tabula_kum!U$41)=1,tabula_kum!U48,tabula_kum!U48-tabula_kum!T48)</f>
        <v>8.7819119999999948</v>
      </c>
      <c r="Y10" s="9">
        <f>IF(MONTH(tabula_kum!V$41)=1,tabula_kum!V48,tabula_kum!V48-tabula_kum!U48)</f>
        <v>8.4473800000000026</v>
      </c>
      <c r="Z10" s="9">
        <f>IF(MONTH(tabula_kum!W$41)=1,tabula_kum!W48,tabula_kum!W48-tabula_kum!V48)</f>
        <v>6.5185870000000037</v>
      </c>
      <c r="AA10" s="9">
        <f>IF(MONTH(tabula_kum!X$41)=1,tabula_kum!X48,tabula_kum!X48-tabula_kum!W48)</f>
        <v>5.8317589999999981</v>
      </c>
      <c r="AB10" s="9">
        <f>IF(MONTH(tabula_kum!Y$41)=1,tabula_kum!Y48,tabula_kum!Y48-tabula_kum!X48)</f>
        <v>5.8681170000000051</v>
      </c>
      <c r="AC10" s="9">
        <f>IF(MONTH(tabula_kum!Z$41)=1,tabula_kum!Z48,tabula_kum!Z48-tabula_kum!Y48)</f>
        <v>5.8004609999999985</v>
      </c>
      <c r="AD10" s="9">
        <f>IF(MONTH(tabula_kum!AA$41)=1,tabula_kum!AA48,tabula_kum!AA48-tabula_kum!Z48)</f>
        <v>6.2878129999999999</v>
      </c>
      <c r="AE10" s="9">
        <f>IF(MONTH(tabula_kum!AB$41)=1,tabula_kum!AB48,tabula_kum!AB48-tabula_kum!AA48)</f>
        <v>8.8249209999999891</v>
      </c>
      <c r="AF10" s="10">
        <f>IF(MONTH(tabula_kum!AC$41)=1,tabula_kum!AC48,tabula_kum!AC48-tabula_kum!AB48)</f>
        <v>5.6276849999999996</v>
      </c>
      <c r="AG10" s="9">
        <f>IF(MONTH(tabula_kum!AD$41)=1,tabula_kum!AD48,tabula_kum!AD48-tabula_kum!AC48)</f>
        <v>4.9668840000000003</v>
      </c>
      <c r="AH10" s="9">
        <f>IF(MONTH(tabula_kum!AE$41)=1,tabula_kum!AE48,tabula_kum!AE48-tabula_kum!AD48)</f>
        <v>6.3840180000000011</v>
      </c>
      <c r="AI10" s="9">
        <f>IF(MONTH(tabula_kum!AF$41)=1,tabula_kum!AF48,tabula_kum!AF48-tabula_kum!AE48)</f>
        <v>3.6746649999999974</v>
      </c>
    </row>
    <row r="11" spans="1:35">
      <c r="A11" t="s">
        <v>113</v>
      </c>
      <c r="B11" s="10">
        <v>21644</v>
      </c>
      <c r="C11" s="17"/>
      <c r="D11" s="17">
        <f t="shared" si="0"/>
        <v>1.0551872256980177E-2</v>
      </c>
      <c r="E11" s="77">
        <v>33587.578999999998</v>
      </c>
      <c r="G11" t="s">
        <v>24</v>
      </c>
      <c r="H11" s="9">
        <f>IF(MONTH(tabula_kum!E$41)=1,tabula_kum!E49,tabula_kum!E49-tabula_kum!D49)</f>
        <v>218.35477900000001</v>
      </c>
      <c r="I11" s="9">
        <f>IF(MONTH(tabula_kum!F$41)=1,tabula_kum!F49,tabula_kum!F49-tabula_kum!E49)</f>
        <v>209.04308800000001</v>
      </c>
      <c r="J11" s="9">
        <f>IF(MONTH(tabula_kum!G$41)=1,tabula_kum!G49,tabula_kum!G49-tabula_kum!F49)</f>
        <v>168.04027899999994</v>
      </c>
      <c r="K11" s="9">
        <f>IF(MONTH(tabula_kum!H$41)=1,tabula_kum!H49,tabula_kum!H49-tabula_kum!G49)</f>
        <v>240.62127100000009</v>
      </c>
      <c r="L11" s="9">
        <f>IF(MONTH(tabula_kum!I$41)=1,tabula_kum!I49,tabula_kum!I49-tabula_kum!H49)</f>
        <v>233.94073199999991</v>
      </c>
      <c r="M11" s="9">
        <f>IF(MONTH(tabula_kum!J$41)=1,tabula_kum!J49,tabula_kum!J49-tabula_kum!I49)</f>
        <v>251.11796800000002</v>
      </c>
      <c r="N11" s="9">
        <f>IF(MONTH(tabula_kum!K$41)=1,tabula_kum!K49,tabula_kum!K49-tabula_kum!J49)</f>
        <v>272.44773899999996</v>
      </c>
      <c r="O11" s="9">
        <f>IF(MONTH(tabula_kum!L$41)=1,tabula_kum!L49,tabula_kum!L49-tabula_kum!K49)</f>
        <v>266.64371100000017</v>
      </c>
      <c r="P11" s="9">
        <f>IF(MONTH(tabula_kum!M$41)=1,tabula_kum!M49,tabula_kum!M49-tabula_kum!L49)</f>
        <v>255.51329699999974</v>
      </c>
      <c r="Q11" s="9">
        <f>IF(MONTH(tabula_kum!N$41)=1,tabula_kum!N49,tabula_kum!N49-tabula_kum!M49)</f>
        <v>281.78393400000004</v>
      </c>
      <c r="R11" s="9">
        <f>IF(MONTH(tabula_kum!O$41)=1,tabula_kum!O49,tabula_kum!O49-tabula_kum!N49)</f>
        <v>244.09561500000018</v>
      </c>
      <c r="S11" s="9">
        <f>IF(MONTH(tabula_kum!P$41)=1,tabula_kum!P49,tabula_kum!P49-tabula_kum!O49)</f>
        <v>120.89054799999985</v>
      </c>
      <c r="T11" s="9">
        <f>IF(MONTH(tabula_kum!Q$41)=1,tabula_kum!Q49,tabula_kum!Q49-tabula_kum!P49)</f>
        <v>305.15682800000002</v>
      </c>
      <c r="U11" s="9">
        <f>IF(MONTH(tabula_kum!R$41)=1,tabula_kum!R49,tabula_kum!R49-tabula_kum!Q49)</f>
        <v>241.22451799999999</v>
      </c>
      <c r="V11" s="9">
        <f>IF(MONTH(tabula_kum!S$41)=1,tabula_kum!S49,tabula_kum!S49-tabula_kum!R49)</f>
        <v>213.27002100000004</v>
      </c>
      <c r="W11" s="9">
        <f>IF(MONTH(tabula_kum!T$41)=1,tabula_kum!T49,tabula_kum!T49-tabula_kum!S49)</f>
        <v>317.51033500000005</v>
      </c>
      <c r="X11" s="9">
        <f>IF(MONTH(tabula_kum!U$41)=1,tabula_kum!U49,tabula_kum!U49-tabula_kum!T49)</f>
        <v>241.8759849999999</v>
      </c>
      <c r="Y11" s="9">
        <f>IF(MONTH(tabula_kum!V$41)=1,tabula_kum!V49,tabula_kum!V49-tabula_kum!U49)</f>
        <v>307.37908599999992</v>
      </c>
      <c r="Z11" s="9">
        <f>IF(MONTH(tabula_kum!W$41)=1,tabula_kum!W49,tabula_kum!W49-tabula_kum!V49)</f>
        <v>318.39030700000012</v>
      </c>
      <c r="AA11" s="9">
        <f>IF(MONTH(tabula_kum!X$41)=1,tabula_kum!X49,tabula_kum!X49-tabula_kum!W49)</f>
        <v>302.72456099999999</v>
      </c>
      <c r="AB11" s="9">
        <f>IF(MONTH(tabula_kum!Y$41)=1,tabula_kum!Y49,tabula_kum!Y49-tabula_kum!X49)</f>
        <v>275.43128799999977</v>
      </c>
      <c r="AC11" s="9">
        <f>IF(MONTH(tabula_kum!Z$41)=1,tabula_kum!Z49,tabula_kum!Z49-tabula_kum!Y49)</f>
        <v>329.14276400000017</v>
      </c>
      <c r="AD11" s="9">
        <f>IF(MONTH(tabula_kum!AA$41)=1,tabula_kum!AA49,tabula_kum!AA49-tabula_kum!Z49)</f>
        <v>364.47679599999992</v>
      </c>
      <c r="AE11" s="9">
        <f>IF(MONTH(tabula_kum!AB$41)=1,tabula_kum!AB49,tabula_kum!AB49-tabula_kum!AA49)</f>
        <v>342.08847199999991</v>
      </c>
      <c r="AF11" s="10">
        <f>IF(MONTH(tabula_kum!AC$41)=1,tabula_kum!AC49,tabula_kum!AC49-tabula_kum!AB49)</f>
        <v>386.10967099999999</v>
      </c>
      <c r="AG11" s="9">
        <f>IF(MONTH(tabula_kum!AD$41)=1,tabula_kum!AD49,tabula_kum!AD49-tabula_kum!AC49)</f>
        <v>301.80614199999997</v>
      </c>
      <c r="AH11" s="9">
        <f>IF(MONTH(tabula_kum!AE$41)=1,tabula_kum!AE49,tabula_kum!AE49-tabula_kum!AD49)</f>
        <v>325.43222800000001</v>
      </c>
      <c r="AI11" s="9">
        <f>IF(MONTH(tabula_kum!AF$41)=1,tabula_kum!AF49,tabula_kum!AF49-tabula_kum!AE49)</f>
        <v>338.49891400000001</v>
      </c>
    </row>
    <row r="12" spans="1:35">
      <c r="A12" t="s">
        <v>114</v>
      </c>
      <c r="B12" s="10">
        <v>21890</v>
      </c>
      <c r="C12" s="17"/>
      <c r="D12" s="17">
        <f t="shared" si="0"/>
        <v>1.1365736462761067E-2</v>
      </c>
      <c r="E12" s="77">
        <v>33587.578999999998</v>
      </c>
      <c r="G12" t="s">
        <v>33</v>
      </c>
      <c r="H12" s="9">
        <f>IF(MONTH(tabula_kum!E$41)=1,tabula_kum!E50,tabula_kum!E50-tabula_kum!D50)</f>
        <v>88.145899</v>
      </c>
      <c r="I12" s="9">
        <f>IF(MONTH(tabula_kum!F$41)=1,tabula_kum!F50,tabula_kum!F50-tabula_kum!E50)</f>
        <v>75.317370999999994</v>
      </c>
      <c r="J12" s="9">
        <f>IF(MONTH(tabula_kum!G$41)=1,tabula_kum!G50,tabula_kum!G50-tabula_kum!F50)</f>
        <v>75.639573000000013</v>
      </c>
      <c r="K12" s="9">
        <f>IF(MONTH(tabula_kum!H$41)=1,tabula_kum!H50,tabula_kum!H50-tabula_kum!G50)</f>
        <v>97.130312000000004</v>
      </c>
      <c r="L12" s="9">
        <f>IF(MONTH(tabula_kum!I$41)=1,tabula_kum!I50,tabula_kum!I50-tabula_kum!H50)</f>
        <v>82.140082000000007</v>
      </c>
      <c r="M12" s="9">
        <f>IF(MONTH(tabula_kum!J$41)=1,tabula_kum!J50,tabula_kum!J50-tabula_kum!I50)</f>
        <v>94.391854999999964</v>
      </c>
      <c r="N12" s="9">
        <f>IF(MONTH(tabula_kum!K$41)=1,tabula_kum!K50,tabula_kum!K50-tabula_kum!J50)</f>
        <v>105.34232800000007</v>
      </c>
      <c r="O12" s="9">
        <f>IF(MONTH(tabula_kum!L$41)=1,tabula_kum!L50,tabula_kum!L50-tabula_kum!K50)</f>
        <v>106.11534499999993</v>
      </c>
      <c r="P12" s="9">
        <f>IF(MONTH(tabula_kum!M$41)=1,tabula_kum!M50,tabula_kum!M50-tabula_kum!L50)</f>
        <v>98.114017999999987</v>
      </c>
      <c r="Q12" s="9">
        <f>IF(MONTH(tabula_kum!N$41)=1,tabula_kum!N50,tabula_kum!N50-tabula_kum!M50)</f>
        <v>96.822309000000018</v>
      </c>
      <c r="R12" s="9">
        <f>IF(MONTH(tabula_kum!O$41)=1,tabula_kum!O50,tabula_kum!O50-tabula_kum!N50)</f>
        <v>87.558834000000047</v>
      </c>
      <c r="S12" s="9">
        <f>IF(MONTH(tabula_kum!P$41)=1,tabula_kum!P50,tabula_kum!P50-tabula_kum!O50)</f>
        <v>98.122540000000072</v>
      </c>
      <c r="T12" s="9">
        <f>IF(MONTH(tabula_kum!Q$41)=1,tabula_kum!Q50,tabula_kum!Q50-tabula_kum!P50)</f>
        <v>94.489587</v>
      </c>
      <c r="U12" s="9">
        <f>IF(MONTH(tabula_kum!R$41)=1,tabula_kum!R50,tabula_kum!R50-tabula_kum!Q50)</f>
        <v>85.432088999999991</v>
      </c>
      <c r="V12" s="9">
        <f>IF(MONTH(tabula_kum!S$41)=1,tabula_kum!S50,tabula_kum!S50-tabula_kum!R50)</f>
        <v>83.467417000000012</v>
      </c>
      <c r="W12" s="9">
        <f>IF(MONTH(tabula_kum!T$41)=1,tabula_kum!T50,tabula_kum!T50-tabula_kum!S50)</f>
        <v>94.762113999999997</v>
      </c>
      <c r="X12" s="9">
        <f>IF(MONTH(tabula_kum!U$41)=1,tabula_kum!U50,tabula_kum!U50-tabula_kum!T50)</f>
        <v>89.708789000000024</v>
      </c>
      <c r="Y12" s="9">
        <f>IF(MONTH(tabula_kum!V$41)=1,tabula_kum!V50,tabula_kum!V50-tabula_kum!U50)</f>
        <v>99.295792000000006</v>
      </c>
      <c r="Z12" s="9">
        <f>IF(MONTH(tabula_kum!W$41)=1,tabula_kum!W50,tabula_kum!W50-tabula_kum!V50)</f>
        <v>97.606663000000026</v>
      </c>
      <c r="AA12" s="9">
        <f>IF(MONTH(tabula_kum!X$41)=1,tabula_kum!X50,tabula_kum!X50-tabula_kum!W50)</f>
        <v>99.319585999999958</v>
      </c>
      <c r="AB12" s="9">
        <f>IF(MONTH(tabula_kum!Y$41)=1,tabula_kum!Y50,tabula_kum!Y50-tabula_kum!X50)</f>
        <v>108.36951199999999</v>
      </c>
      <c r="AC12" s="9">
        <f>IF(MONTH(tabula_kum!Z$41)=1,tabula_kum!Z50,tabula_kum!Z50-tabula_kum!Y50)</f>
        <v>96.951422999999977</v>
      </c>
      <c r="AD12" s="9">
        <f>IF(MONTH(tabula_kum!AA$41)=1,tabula_kum!AA50,tabula_kum!AA50-tabula_kum!Z50)</f>
        <v>96.244254999999953</v>
      </c>
      <c r="AE12" s="9">
        <f>IF(MONTH(tabula_kum!AB$41)=1,tabula_kum!AB50,tabula_kum!AB50-tabula_kum!AA50)</f>
        <v>85.386054000000058</v>
      </c>
      <c r="AF12" s="10">
        <f>IF(MONTH(tabula_kum!AC$41)=1,tabula_kum!AC50,tabula_kum!AC50-tabula_kum!AB50)</f>
        <v>101.657421</v>
      </c>
      <c r="AG12" s="9">
        <f>IF(MONTH(tabula_kum!AD$41)=1,tabula_kum!AD50,tabula_kum!AD50-tabula_kum!AC50)</f>
        <v>85.200087999999994</v>
      </c>
      <c r="AH12" s="9">
        <f>IF(MONTH(tabula_kum!AE$41)=1,tabula_kum!AE50,tabula_kum!AE50-tabula_kum!AD50)</f>
        <v>92.239321000000018</v>
      </c>
      <c r="AI12" s="9">
        <f>IF(MONTH(tabula_kum!AF$41)=1,tabula_kum!AF50,tabula_kum!AF50-tabula_kum!AE50)</f>
        <v>93.143621999999993</v>
      </c>
    </row>
    <row r="13" spans="1:35">
      <c r="A13" t="s">
        <v>115</v>
      </c>
      <c r="B13" s="10">
        <v>22124</v>
      </c>
      <c r="C13" s="17"/>
      <c r="D13" s="17">
        <f t="shared" si="0"/>
        <v>1.0689812699862911E-2</v>
      </c>
      <c r="E13" s="77">
        <v>33587.578999999998</v>
      </c>
      <c r="G13" t="s">
        <v>34</v>
      </c>
      <c r="H13" s="9">
        <f>IF(MONTH(tabula_kum!E$41)=1,tabula_kum!E51,tabula_kum!E51-tabula_kum!D51)</f>
        <v>12.891030000000001</v>
      </c>
      <c r="I13" s="9">
        <f>IF(MONTH(tabula_kum!F$41)=1,tabula_kum!F51,tabula_kum!F51-tabula_kum!E51)</f>
        <v>10.632469999999998</v>
      </c>
      <c r="J13" s="9">
        <f>IF(MONTH(tabula_kum!G$41)=1,tabula_kum!G51,tabula_kum!G51-tabula_kum!F51)</f>
        <v>13.436640000000004</v>
      </c>
      <c r="K13" s="9">
        <f>IF(MONTH(tabula_kum!H$41)=1,tabula_kum!H51,tabula_kum!H51-tabula_kum!G51)</f>
        <v>12.303186999999994</v>
      </c>
      <c r="L13" s="9">
        <f>IF(MONTH(tabula_kum!I$41)=1,tabula_kum!I51,tabula_kum!I51-tabula_kum!H51)</f>
        <v>11.584446</v>
      </c>
      <c r="M13" s="9">
        <f>IF(MONTH(tabula_kum!J$41)=1,tabula_kum!J51,tabula_kum!J51-tabula_kum!I51)</f>
        <v>12.108154000000006</v>
      </c>
      <c r="N13" s="9">
        <f>IF(MONTH(tabula_kum!K$41)=1,tabula_kum!K51,tabula_kum!K51-tabula_kum!J51)</f>
        <v>13.004964000000001</v>
      </c>
      <c r="O13" s="9">
        <f>IF(MONTH(tabula_kum!L$41)=1,tabula_kum!L51,tabula_kum!L51-tabula_kum!K51)</f>
        <v>13.717084999999997</v>
      </c>
      <c r="P13" s="9">
        <f>IF(MONTH(tabula_kum!M$41)=1,tabula_kum!M51,tabula_kum!M51-tabula_kum!L51)</f>
        <v>13.324286000000001</v>
      </c>
      <c r="Q13" s="9">
        <f>IF(MONTH(tabula_kum!N$41)=1,tabula_kum!N51,tabula_kum!N51-tabula_kum!M51)</f>
        <v>12.692964000000003</v>
      </c>
      <c r="R13" s="9">
        <f>IF(MONTH(tabula_kum!O$41)=1,tabula_kum!O51,tabula_kum!O51-tabula_kum!N51)</f>
        <v>10.855029999999985</v>
      </c>
      <c r="S13" s="9">
        <f>IF(MONTH(tabula_kum!P$41)=1,tabula_kum!P51,tabula_kum!P51-tabula_kum!O51)</f>
        <v>11.189896000000005</v>
      </c>
      <c r="T13" s="9">
        <f>IF(MONTH(tabula_kum!Q$41)=1,tabula_kum!Q51,tabula_kum!Q51-tabula_kum!P51)</f>
        <v>14.748863999999999</v>
      </c>
      <c r="U13" s="9">
        <f>IF(MONTH(tabula_kum!R$41)=1,tabula_kum!R51,tabula_kum!R51-tabula_kum!Q51)</f>
        <v>11.819887</v>
      </c>
      <c r="V13" s="9">
        <f>IF(MONTH(tabula_kum!S$41)=1,tabula_kum!S51,tabula_kum!S51-tabula_kum!R51)</f>
        <v>13.827694999999999</v>
      </c>
      <c r="W13" s="9">
        <f>IF(MONTH(tabula_kum!T$41)=1,tabula_kum!T51,tabula_kum!T51-tabula_kum!S51)</f>
        <v>13.637302000000005</v>
      </c>
      <c r="X13" s="9">
        <f>IF(MONTH(tabula_kum!U$41)=1,tabula_kum!U51,tabula_kum!U51-tabula_kum!T51)</f>
        <v>15.047883999999996</v>
      </c>
      <c r="Y13" s="9">
        <f>IF(MONTH(tabula_kum!V$41)=1,tabula_kum!V51,tabula_kum!V51-tabula_kum!U51)</f>
        <v>14.516727000000003</v>
      </c>
      <c r="Z13" s="9">
        <f>IF(MONTH(tabula_kum!W$41)=1,tabula_kum!W51,tabula_kum!W51-tabula_kum!V51)</f>
        <v>15.005157999999994</v>
      </c>
      <c r="AA13" s="9">
        <f>IF(MONTH(tabula_kum!X$41)=1,tabula_kum!X51,tabula_kum!X51-tabula_kum!W51)</f>
        <v>15.349360000000004</v>
      </c>
      <c r="AB13" s="9">
        <f>IF(MONTH(tabula_kum!Y$41)=1,tabula_kum!Y51,tabula_kum!Y51-tabula_kum!X51)</f>
        <v>14.124550999999997</v>
      </c>
      <c r="AC13" s="9">
        <f>IF(MONTH(tabula_kum!Z$41)=1,tabula_kum!Z51,tabula_kum!Z51-tabula_kum!Y51)</f>
        <v>13.568664000000012</v>
      </c>
      <c r="AD13" s="9">
        <f>IF(MONTH(tabula_kum!AA$41)=1,tabula_kum!AA51,tabula_kum!AA51-tabula_kum!Z51)</f>
        <v>13.436053999999984</v>
      </c>
      <c r="AE13" s="9">
        <f>IF(MONTH(tabula_kum!AB$41)=1,tabula_kum!AB51,tabula_kum!AB51-tabula_kum!AA51)</f>
        <v>13.317589999999996</v>
      </c>
      <c r="AF13" s="10">
        <f>IF(MONTH(tabula_kum!AC$41)=1,tabula_kum!AC51,tabula_kum!AC51-tabula_kum!AB51)</f>
        <v>18.154273</v>
      </c>
      <c r="AG13" s="9">
        <f>IF(MONTH(tabula_kum!AD$41)=1,tabula_kum!AD51,tabula_kum!AD51-tabula_kum!AC51)</f>
        <v>14.509901000000003</v>
      </c>
      <c r="AH13" s="9">
        <f>IF(MONTH(tabula_kum!AE$41)=1,tabula_kum!AE51,tabula_kum!AE51-tabula_kum!AD51)</f>
        <v>16.883154999999995</v>
      </c>
      <c r="AI13" s="9">
        <f>IF(MONTH(tabula_kum!AF$41)=1,tabula_kum!AF51,tabula_kum!AF51-tabula_kum!AE51)</f>
        <v>14.461686000000007</v>
      </c>
    </row>
    <row r="14" spans="1:35">
      <c r="A14" t="s">
        <v>116</v>
      </c>
      <c r="B14" s="10">
        <v>22207</v>
      </c>
      <c r="C14" s="17"/>
      <c r="D14" s="17">
        <f t="shared" si="0"/>
        <v>3.7515819924063276E-3</v>
      </c>
      <c r="E14" s="77">
        <v>33587.578999999998</v>
      </c>
      <c r="G14" t="s">
        <v>35</v>
      </c>
      <c r="H14" s="9">
        <f>IF(MONTH(tabula_kum!E$41)=1,tabula_kum!E52,tabula_kum!E52-tabula_kum!D52)</f>
        <v>7.7728840000000003</v>
      </c>
      <c r="I14" s="9">
        <f>IF(MONTH(tabula_kum!F$41)=1,tabula_kum!F52,tabula_kum!F52-tabula_kum!E52)</f>
        <v>0.40173400000000026</v>
      </c>
      <c r="J14" s="9">
        <f>IF(MONTH(tabula_kum!G$41)=1,tabula_kum!G52,tabula_kum!G52-tabula_kum!F52)</f>
        <v>1.1016149999999989</v>
      </c>
      <c r="K14" s="9">
        <f>IF(MONTH(tabula_kum!H$41)=1,tabula_kum!H52,tabula_kum!H52-tabula_kum!G52)</f>
        <v>9.1102000000000007</v>
      </c>
      <c r="L14" s="9">
        <f>IF(MONTH(tabula_kum!I$41)=1,tabula_kum!I52,tabula_kum!I52-tabula_kum!H52)</f>
        <v>0.51145199999999846</v>
      </c>
      <c r="M14" s="9">
        <f>IF(MONTH(tabula_kum!J$41)=1,tabula_kum!J52,tabula_kum!J52-tabula_kum!I52)</f>
        <v>0.45809500000000014</v>
      </c>
      <c r="N14" s="9">
        <f>IF(MONTH(tabula_kum!K$41)=1,tabula_kum!K52,tabula_kum!K52-tabula_kum!J52)</f>
        <v>11.542488000000002</v>
      </c>
      <c r="O14" s="9">
        <f>IF(MONTH(tabula_kum!L$41)=1,tabula_kum!L52,tabula_kum!L52-tabula_kum!K52)</f>
        <v>0.47863999999999862</v>
      </c>
      <c r="P14" s="9">
        <f>IF(MONTH(tabula_kum!M$41)=1,tabula_kum!M52,tabula_kum!M52-tabula_kum!L52)</f>
        <v>0.40360700000000094</v>
      </c>
      <c r="Q14" s="9">
        <f>IF(MONTH(tabula_kum!N$41)=1,tabula_kum!N52,tabula_kum!N52-tabula_kum!M52)</f>
        <v>10.238543</v>
      </c>
      <c r="R14" s="9">
        <f>IF(MONTH(tabula_kum!O$41)=1,tabula_kum!O52,tabula_kum!O52-tabula_kum!N52)</f>
        <v>0.5170749999999984</v>
      </c>
      <c r="S14" s="9">
        <f>IF(MONTH(tabula_kum!P$41)=1,tabula_kum!P52,tabula_kum!P52-tabula_kum!O52)</f>
        <v>1.1034830000000042</v>
      </c>
      <c r="T14" s="9">
        <f>IF(MONTH(tabula_kum!Q$41)=1,tabula_kum!Q52,tabula_kum!Q52-tabula_kum!P52)</f>
        <v>12.438751</v>
      </c>
      <c r="U14" s="9">
        <f>IF(MONTH(tabula_kum!R$41)=1,tabula_kum!R52,tabula_kum!R52-tabula_kum!Q52)</f>
        <v>0.72894499999999951</v>
      </c>
      <c r="V14" s="9">
        <f>IF(MONTH(tabula_kum!S$41)=1,tabula_kum!S52,tabula_kum!S52-tabula_kum!R52)</f>
        <v>0.55321600000000082</v>
      </c>
      <c r="W14" s="9">
        <f>IF(MONTH(tabula_kum!T$41)=1,tabula_kum!T52,tabula_kum!T52-tabula_kum!S52)</f>
        <v>11.319231</v>
      </c>
      <c r="X14" s="9">
        <f>IF(MONTH(tabula_kum!U$41)=1,tabula_kum!U52,tabula_kum!U52-tabula_kum!T52)</f>
        <v>0.60971699999999984</v>
      </c>
      <c r="Y14" s="9">
        <f>IF(MONTH(tabula_kum!V$41)=1,tabula_kum!V52,tabula_kum!V52-tabula_kum!U52)</f>
        <v>0.37633200000000144</v>
      </c>
      <c r="Z14" s="9">
        <f>IF(MONTH(tabula_kum!W$41)=1,tabula_kum!W52,tabula_kum!W52-tabula_kum!V52)</f>
        <v>13.488728999999999</v>
      </c>
      <c r="AA14" s="9">
        <f>IF(MONTH(tabula_kum!X$41)=1,tabula_kum!X52,tabula_kum!X52-tabula_kum!W52)</f>
        <v>0.58706000000000103</v>
      </c>
      <c r="AB14" s="9">
        <f>IF(MONTH(tabula_kum!Y$41)=1,tabula_kum!Y52,tabula_kum!Y52-tabula_kum!X52)</f>
        <v>0.38482499999999931</v>
      </c>
      <c r="AC14" s="9">
        <f>IF(MONTH(tabula_kum!Z$41)=1,tabula_kum!Z52,tabula_kum!Z52-tabula_kum!Y52)</f>
        <v>13.188069999999996</v>
      </c>
      <c r="AD14" s="9">
        <f>IF(MONTH(tabula_kum!AA$41)=1,tabula_kum!AA52,tabula_kum!AA52-tabula_kum!Z52)</f>
        <v>0.49569600000000236</v>
      </c>
      <c r="AE14" s="9">
        <f>IF(MONTH(tabula_kum!AB$41)=1,tabula_kum!AB52,tabula_kum!AB52-tabula_kum!AA52)</f>
        <v>0.22254000000000218</v>
      </c>
      <c r="AF14" s="10">
        <f>IF(MONTH(tabula_kum!AC$41)=1,tabula_kum!AC52,tabula_kum!AC52-tabula_kum!AB52)</f>
        <v>14.662791</v>
      </c>
      <c r="AG14" s="9">
        <f>IF(MONTH(tabula_kum!AD$41)=1,tabula_kum!AD52,tabula_kum!AD52-tabula_kum!AC52)</f>
        <v>0.99447599999999881</v>
      </c>
      <c r="AH14" s="9">
        <f>IF(MONTH(tabula_kum!AE$41)=1,tabula_kum!AE52,tabula_kum!AE52-tabula_kum!AD52)</f>
        <v>0.36786900000000067</v>
      </c>
      <c r="AI14" s="9">
        <f>IF(MONTH(tabula_kum!AF$41)=1,tabula_kum!AF52,tabula_kum!AF52-tabula_kum!AE52)</f>
        <v>14.152799999999999</v>
      </c>
    </row>
    <row r="15" spans="1:35">
      <c r="A15" t="s">
        <v>117</v>
      </c>
      <c r="B15" s="10">
        <v>22201</v>
      </c>
      <c r="C15" s="17">
        <f t="shared" ref="C15:C25" si="1">B15/B3-1</f>
        <v>7.4484561029910079E-2</v>
      </c>
      <c r="D15" s="17">
        <f t="shared" si="0"/>
        <v>-2.7018507677756265E-4</v>
      </c>
      <c r="E15" s="77">
        <v>39080.733</v>
      </c>
      <c r="G15" t="s">
        <v>36</v>
      </c>
      <c r="H15" s="9">
        <f>IF(MONTH(tabula_kum!E$41)=1,tabula_kum!E53,tabula_kum!E53-tabula_kum!D53)</f>
        <v>8.1143000000000007E-2</v>
      </c>
      <c r="I15" s="9">
        <f>IF(MONTH(tabula_kum!F$41)=1,tabula_kum!F53,tabula_kum!F53-tabula_kum!E53)</f>
        <v>-6.5846000000000002E-2</v>
      </c>
      <c r="J15" s="9">
        <f>IF(MONTH(tabula_kum!G$41)=1,tabula_kum!G53,tabula_kum!G53-tabula_kum!F53)</f>
        <v>-4.3249000000000003E-2</v>
      </c>
      <c r="K15" s="9">
        <f>IF(MONTH(tabula_kum!H$41)=1,tabula_kum!H53,tabula_kum!H53-tabula_kum!G53)</f>
        <v>-3.5169999999999958E-3</v>
      </c>
      <c r="L15" s="9">
        <f>IF(MONTH(tabula_kum!I$41)=1,tabula_kum!I53,tabula_kum!I53-tabula_kum!H53)</f>
        <v>-6.9900000000000517E-4</v>
      </c>
      <c r="M15" s="9">
        <f>IF(MONTH(tabula_kum!J$41)=1,tabula_kum!J53,tabula_kum!J53-tabula_kum!I53)</f>
        <v>2.5200000000000222E-4</v>
      </c>
      <c r="N15" s="9">
        <f>IF(MONTH(tabula_kum!K$41)=1,tabula_kum!K53,tabula_kum!K53-tabula_kum!J53)</f>
        <v>-9.7099999999999964E-4</v>
      </c>
      <c r="O15" s="9">
        <f>IF(MONTH(tabula_kum!L$41)=1,tabula_kum!L53,tabula_kum!L53-tabula_kum!K53)</f>
        <v>-4.9182000000000003E-2</v>
      </c>
      <c r="P15" s="9">
        <f>IF(MONTH(tabula_kum!M$41)=1,tabula_kum!M53,tabula_kum!M53-tabula_kum!L53)</f>
        <v>-5.9159999999999907E-3</v>
      </c>
      <c r="Q15" s="9">
        <f>IF(MONTH(tabula_kum!N$41)=1,tabula_kum!N53,tabula_kum!N53-tabula_kum!M53)</f>
        <v>-2.588000000000007E-3</v>
      </c>
      <c r="R15" s="9">
        <f>IF(MONTH(tabula_kum!O$41)=1,tabula_kum!O53,tabula_kum!O53-tabula_kum!N53)</f>
        <v>-3.5169999999999924E-3</v>
      </c>
      <c r="S15" s="9">
        <f>IF(MONTH(tabula_kum!P$41)=1,tabula_kum!P53,tabula_kum!P53-tabula_kum!O53)</f>
        <v>1.8078999999999998E-2</v>
      </c>
      <c r="T15" s="9">
        <f>IF(MONTH(tabula_kum!Q$41)=1,tabula_kum!Q53,tabula_kum!Q53-tabula_kum!P53)</f>
        <v>2.1770000000000001E-3</v>
      </c>
      <c r="U15" s="9">
        <f>IF(MONTH(tabula_kum!R$41)=1,tabula_kum!R53,tabula_kum!R53-tabula_kum!Q53)</f>
        <v>1.2409999999999999E-3</v>
      </c>
      <c r="V15" s="9">
        <f>IF(MONTH(tabula_kum!S$41)=1,tabula_kum!S53,tabula_kum!S53-tabula_kum!R53)</f>
        <v>6.9300000000000004E-4</v>
      </c>
      <c r="W15" s="9">
        <f>IF(MONTH(tabula_kum!T$41)=1,tabula_kum!T53,tabula_kum!T53-tabula_kum!S53)</f>
        <v>0.12301100000000001</v>
      </c>
      <c r="X15" s="9">
        <f>IF(MONTH(tabula_kum!U$41)=1,tabula_kum!U53,tabula_kum!U53-tabula_kum!T53)</f>
        <v>-0.12160000000000001</v>
      </c>
      <c r="Y15" s="9">
        <f>IF(MONTH(tabula_kum!V$41)=1,tabula_kum!V53,tabula_kum!V53-tabula_kum!U53)</f>
        <v>1.460000000000003E-4</v>
      </c>
      <c r="Z15" s="9">
        <f>IF(MONTH(tabula_kum!W$41)=1,tabula_kum!W53,tabula_kum!W53-tabula_kum!V53)</f>
        <v>-2.5999999999999981E-5</v>
      </c>
      <c r="AA15" s="9">
        <f>IF(MONTH(tabula_kum!X$41)=1,tabula_kum!X53,tabula_kum!X53-tabula_kum!W53)</f>
        <v>2.7699999999999947E-4</v>
      </c>
      <c r="AB15" s="9">
        <f>IF(MONTH(tabula_kum!Y$41)=1,tabula_kum!Y53,tabula_kum!Y53-tabula_kum!X53)</f>
        <v>3.740000000000002E-4</v>
      </c>
      <c r="AC15" s="9">
        <f>IF(MONTH(tabula_kum!Z$41)=1,tabula_kum!Z53,tabula_kum!Z53-tabula_kum!Y53)</f>
        <v>2.1200000000000038E-4</v>
      </c>
      <c r="AD15" s="9">
        <f>IF(MONTH(tabula_kum!AA$41)=1,tabula_kum!AA53,tabula_kum!AA53-tabula_kum!Z53)</f>
        <v>2.2629999999999994E-3</v>
      </c>
      <c r="AE15" s="9">
        <f>IF(MONTH(tabula_kum!AB$41)=1,tabula_kum!AB53,tabula_kum!AB53-tabula_kum!AA53)</f>
        <v>4.4019999999999997E-3</v>
      </c>
      <c r="AF15" s="10">
        <f>IF(MONTH(tabula_kum!AC$41)=1,tabula_kum!AC53,tabula_kum!AC53-tabula_kum!AB53)</f>
        <v>8.5179999999999995E-3</v>
      </c>
      <c r="AG15" s="9">
        <f>IF(MONTH(tabula_kum!AD$41)=1,tabula_kum!AD53,tabula_kum!AD53-tabula_kum!AC53)</f>
        <v>1.3340000000000001E-3</v>
      </c>
      <c r="AH15" s="9">
        <f>IF(MONTH(tabula_kum!AE$41)=1,tabula_kum!AE53,tabula_kum!AE53-tabula_kum!AD53)</f>
        <v>9.0699999999999982E-4</v>
      </c>
      <c r="AI15" s="9">
        <f>IF(MONTH(tabula_kum!AF$41)=1,tabula_kum!AF53,tabula_kum!AF53-tabula_kum!AE53)</f>
        <v>2.9400000000000086E-4</v>
      </c>
    </row>
    <row r="16" spans="1:35">
      <c r="A16" t="s">
        <v>129</v>
      </c>
      <c r="B16" s="10">
        <v>22562</v>
      </c>
      <c r="C16" s="17">
        <f t="shared" si="1"/>
        <v>8.7325301204819183E-2</v>
      </c>
      <c r="D16" s="17">
        <f t="shared" ref="D16:D17" si="2">B16/B15-1</f>
        <v>1.6260528805008834E-2</v>
      </c>
      <c r="E16" s="77">
        <v>39080.733</v>
      </c>
      <c r="G16" t="s">
        <v>4</v>
      </c>
      <c r="H16" s="9">
        <f>IF(MONTH(tabula_kum!E$41)=1,tabula_kum!E54,tabula_kum!E54-tabula_kum!D54)</f>
        <v>31.370888000000001</v>
      </c>
      <c r="I16" s="9">
        <f>IF(MONTH(tabula_kum!F$41)=1,tabula_kum!F54,tabula_kum!F54-tabula_kum!E54)</f>
        <v>45.121068000000001</v>
      </c>
      <c r="J16" s="9">
        <f>IF(MONTH(tabula_kum!G$41)=1,tabula_kum!G54,tabula_kum!G54-tabula_kum!F54)</f>
        <v>35.264769000000001</v>
      </c>
      <c r="K16" s="9">
        <f>IF(MONTH(tabula_kum!H$41)=1,tabula_kum!H54,tabula_kum!H54-tabula_kum!G54)</f>
        <v>47.331129999999987</v>
      </c>
      <c r="L16" s="9">
        <f>IF(MONTH(tabula_kum!I$41)=1,tabula_kum!I54,tabula_kum!I54-tabula_kum!H54)</f>
        <v>194.13074499999999</v>
      </c>
      <c r="M16" s="9">
        <f>IF(MONTH(tabula_kum!J$41)=1,tabula_kum!J54,tabula_kum!J54-tabula_kum!I54)</f>
        <v>137.90323599999999</v>
      </c>
      <c r="N16" s="9">
        <f>IF(MONTH(tabula_kum!K$41)=1,tabula_kum!K54,tabula_kum!K54-tabula_kum!J54)</f>
        <v>43.569983000000036</v>
      </c>
      <c r="O16" s="9">
        <f>IF(MONTH(tabula_kum!L$41)=1,tabula_kum!L54,tabula_kum!L54-tabula_kum!K54)</f>
        <v>43.156872000000021</v>
      </c>
      <c r="P16" s="9">
        <f>IF(MONTH(tabula_kum!M$41)=1,tabula_kum!M54,tabula_kum!M54-tabula_kum!L54)</f>
        <v>57.070799999999963</v>
      </c>
      <c r="Q16" s="9">
        <f>IF(MONTH(tabula_kum!N$41)=1,tabula_kum!N54,tabula_kum!N54-tabula_kum!M54)</f>
        <v>48.487023000000022</v>
      </c>
      <c r="R16" s="9">
        <f>IF(MONTH(tabula_kum!O$41)=1,tabula_kum!O54,tabula_kum!O54-tabula_kum!N54)</f>
        <v>40.267897999999946</v>
      </c>
      <c r="S16" s="9">
        <f>IF(MONTH(tabula_kum!P$41)=1,tabula_kum!P54,tabula_kum!P54-tabula_kum!O54)</f>
        <v>50.335583000000042</v>
      </c>
      <c r="T16" s="9">
        <f>IF(MONTH(tabula_kum!Q$41)=1,tabula_kum!Q54,tabula_kum!Q54-tabula_kum!P54)</f>
        <v>57.283079000000001</v>
      </c>
      <c r="U16" s="9">
        <f>IF(MONTH(tabula_kum!R$41)=1,tabula_kum!R54,tabula_kum!R54-tabula_kum!Q54)</f>
        <v>46.204665000000006</v>
      </c>
      <c r="V16" s="9">
        <f>IF(MONTH(tabula_kum!S$41)=1,tabula_kum!S54,tabula_kum!S54-tabula_kum!R54)</f>
        <v>65.464437999999987</v>
      </c>
      <c r="W16" s="9">
        <f>IF(MONTH(tabula_kum!T$41)=1,tabula_kum!T54,tabula_kum!T54-tabula_kum!S54)</f>
        <v>67.048771000000016</v>
      </c>
      <c r="X16" s="9">
        <f>IF(MONTH(tabula_kum!U$41)=1,tabula_kum!U54,tabula_kum!U54-tabula_kum!T54)</f>
        <v>88.41471599999997</v>
      </c>
      <c r="Y16" s="9">
        <f>IF(MONTH(tabula_kum!V$41)=1,tabula_kum!V54,tabula_kum!V54-tabula_kum!U54)</f>
        <v>128.24976300000003</v>
      </c>
      <c r="Z16" s="9">
        <f>IF(MONTH(tabula_kum!W$41)=1,tabula_kum!W54,tabula_kum!W54-tabula_kum!V54)</f>
        <v>133.11235799999997</v>
      </c>
      <c r="AA16" s="9">
        <f>IF(MONTH(tabula_kum!X$41)=1,tabula_kum!X54,tabula_kum!X54-tabula_kum!W54)</f>
        <v>59.638622000000055</v>
      </c>
      <c r="AB16" s="9">
        <f>IF(MONTH(tabula_kum!Y$41)=1,tabula_kum!Y54,tabula_kum!Y54-tabula_kum!X54)</f>
        <v>41.622447999999963</v>
      </c>
      <c r="AC16" s="9">
        <f>IF(MONTH(tabula_kum!Z$41)=1,tabula_kum!Z54,tabula_kum!Z54-tabula_kum!Y54)</f>
        <v>49.702570000000037</v>
      </c>
      <c r="AD16" s="9">
        <f>IF(MONTH(tabula_kum!AA$41)=1,tabula_kum!AA54,tabula_kum!AA54-tabula_kum!Z54)</f>
        <v>59.671256999999969</v>
      </c>
      <c r="AE16" s="9">
        <f>IF(MONTH(tabula_kum!AB$41)=1,tabula_kum!AB54,tabula_kum!AB54-tabula_kum!AA54)</f>
        <v>51.171358999999939</v>
      </c>
      <c r="AF16" s="10">
        <f>IF(MONTH(tabula_kum!AC$41)=1,tabula_kum!AC54,tabula_kum!AC54-tabula_kum!AB54)</f>
        <v>46.895817000000001</v>
      </c>
      <c r="AG16" s="9">
        <f>IF(MONTH(tabula_kum!AD$41)=1,tabula_kum!AD54,tabula_kum!AD54-tabula_kum!AC54)</f>
        <v>55.444927999999997</v>
      </c>
      <c r="AH16" s="9">
        <f>IF(MONTH(tabula_kum!AE$41)=1,tabula_kum!AE54,tabula_kum!AE54-tabula_kum!AD54)</f>
        <v>53.78161399999999</v>
      </c>
      <c r="AI16" s="9">
        <f>IF(MONTH(tabula_kum!AF$41)=1,tabula_kum!AF54,tabula_kum!AF54-tabula_kum!AE54)</f>
        <v>77.237088999999997</v>
      </c>
    </row>
    <row r="17" spans="1:45">
      <c r="A17" t="s">
        <v>130</v>
      </c>
      <c r="B17" s="10">
        <v>23311</v>
      </c>
      <c r="C17" s="17">
        <f t="shared" si="1"/>
        <v>0.1147721295012194</v>
      </c>
      <c r="D17" s="17">
        <f t="shared" si="2"/>
        <v>3.3197411576987745E-2</v>
      </c>
      <c r="E17" s="77">
        <v>39080.733</v>
      </c>
      <c r="G17" t="s">
        <v>40</v>
      </c>
      <c r="H17" s="9">
        <f>IF(MONTH(tabula_kum!E$41)=1,tabula_kum!E55,tabula_kum!E55-tabula_kum!D55)</f>
        <v>8.5820709999999991</v>
      </c>
      <c r="I17" s="9">
        <f>IF(MONTH(tabula_kum!F$41)=1,tabula_kum!F55,tabula_kum!F55-tabula_kum!E55)</f>
        <v>12.777868000000002</v>
      </c>
      <c r="J17" s="9">
        <f>IF(MONTH(tabula_kum!G$41)=1,tabula_kum!G55,tabula_kum!G55-tabula_kum!F55)</f>
        <v>6.1748699999999985</v>
      </c>
      <c r="K17" s="9">
        <f>IF(MONTH(tabula_kum!H$41)=1,tabula_kum!H55,tabula_kum!H55-tabula_kum!G55)</f>
        <v>9.0196520000000042</v>
      </c>
      <c r="L17" s="9">
        <f>IF(MONTH(tabula_kum!I$41)=1,tabula_kum!I55,tabula_kum!I55-tabula_kum!H55)</f>
        <v>152.675802</v>
      </c>
      <c r="M17" s="9">
        <f>IF(MONTH(tabula_kum!J$41)=1,tabula_kum!J55,tabula_kum!J55-tabula_kum!I55)</f>
        <v>99.403039000000007</v>
      </c>
      <c r="N17" s="9">
        <f>IF(MONTH(tabula_kum!K$41)=1,tabula_kum!K55,tabula_kum!K55-tabula_kum!J55)</f>
        <v>8.7238059999999678</v>
      </c>
      <c r="O17" s="9">
        <f>IF(MONTH(tabula_kum!L$41)=1,tabula_kum!L55,tabula_kum!L55-tabula_kum!K55)</f>
        <v>3.8182480000000396</v>
      </c>
      <c r="P17" s="9">
        <f>IF(MONTH(tabula_kum!M$41)=1,tabula_kum!M55,tabula_kum!M55-tabula_kum!L55)</f>
        <v>10.968881999999951</v>
      </c>
      <c r="Q17" s="9">
        <f>IF(MONTH(tabula_kum!N$41)=1,tabula_kum!N55,tabula_kum!N55-tabula_kum!M55)</f>
        <v>8.006020000000035</v>
      </c>
      <c r="R17" s="9">
        <f>IF(MONTH(tabula_kum!O$41)=1,tabula_kum!O55,tabula_kum!O55-tabula_kum!N55)</f>
        <v>10.300722000000007</v>
      </c>
      <c r="S17" s="9">
        <f>IF(MONTH(tabula_kum!P$41)=1,tabula_kum!P55,tabula_kum!P55-tabula_kum!O55)</f>
        <v>11.696295999999961</v>
      </c>
      <c r="T17" s="9">
        <f>IF(MONTH(tabula_kum!Q$41)=1,tabula_kum!Q55,tabula_kum!Q55-tabula_kum!P55)</f>
        <v>7.1279599999999999</v>
      </c>
      <c r="U17" s="9">
        <f>IF(MONTH(tabula_kum!R$41)=1,tabula_kum!R55,tabula_kum!R55-tabula_kum!Q55)</f>
        <v>8.9943170000000006</v>
      </c>
      <c r="V17" s="9">
        <f>IF(MONTH(tabula_kum!S$41)=1,tabula_kum!S55,tabula_kum!S55-tabula_kum!R55)</f>
        <v>33.527443000000005</v>
      </c>
      <c r="W17" s="9">
        <f>IF(MONTH(tabula_kum!T$41)=1,tabula_kum!T55,tabula_kum!T55-tabula_kum!S55)</f>
        <v>40.134985</v>
      </c>
      <c r="X17" s="9">
        <f>IF(MONTH(tabula_kum!U$41)=1,tabula_kum!U55,tabula_kum!U55-tabula_kum!T55)</f>
        <v>44.117368999999997</v>
      </c>
      <c r="Y17" s="9">
        <f>IF(MONTH(tabula_kum!V$41)=1,tabula_kum!V55,tabula_kum!V55-tabula_kum!U55)</f>
        <v>93.243961000000013</v>
      </c>
      <c r="Z17" s="9">
        <f>IF(MONTH(tabula_kum!W$41)=1,tabula_kum!W55,tabula_kum!W55-tabula_kum!V55)</f>
        <v>80.189503999999971</v>
      </c>
      <c r="AA17" s="9">
        <f>IF(MONTH(tabula_kum!X$41)=1,tabula_kum!X55,tabula_kum!X55-tabula_kum!W55)</f>
        <v>6.6646790000000351</v>
      </c>
      <c r="AB17" s="9">
        <f>IF(MONTH(tabula_kum!Y$41)=1,tabula_kum!Y55,tabula_kum!Y55-tabula_kum!X55)</f>
        <v>7.5581569999999942</v>
      </c>
      <c r="AC17" s="9">
        <f>IF(MONTH(tabula_kum!Z$41)=1,tabula_kum!Z55,tabula_kum!Z55-tabula_kum!Y55)</f>
        <v>8.8387250000000108</v>
      </c>
      <c r="AD17" s="9">
        <f>IF(MONTH(tabula_kum!AA$41)=1,tabula_kum!AA55,tabula_kum!AA55-tabula_kum!Z55)</f>
        <v>13.341292999999951</v>
      </c>
      <c r="AE17" s="9">
        <f>IF(MONTH(tabula_kum!AB$41)=1,tabula_kum!AB55,tabula_kum!AB55-tabula_kum!AA55)</f>
        <v>9.7057060000000206</v>
      </c>
      <c r="AF17" s="10">
        <f>IF(MONTH(tabula_kum!AC$41)=1,tabula_kum!AC55,tabula_kum!AC55-tabula_kum!AB55)</f>
        <v>14.596113000000001</v>
      </c>
      <c r="AG17" s="9">
        <f>IF(MONTH(tabula_kum!AD$41)=1,tabula_kum!AD55,tabula_kum!AD55-tabula_kum!AC55)</f>
        <v>15.343929999999999</v>
      </c>
      <c r="AH17" s="9">
        <f>IF(MONTH(tabula_kum!AE$41)=1,tabula_kum!AE55,tabula_kum!AE55-tabula_kum!AD55)</f>
        <v>14.984958000000002</v>
      </c>
      <c r="AI17" s="9">
        <f>IF(MONTH(tabula_kum!AF$41)=1,tabula_kum!AF55,tabula_kum!AF55-tabula_kum!AE55)</f>
        <v>33.272044999999999</v>
      </c>
    </row>
    <row r="18" spans="1:45">
      <c r="A18" t="s">
        <v>131</v>
      </c>
      <c r="B18" s="10">
        <v>23831</v>
      </c>
      <c r="C18" s="17">
        <f t="shared" si="1"/>
        <v>0.12991323313261582</v>
      </c>
      <c r="D18" s="17">
        <f t="shared" ref="D18:D19" si="3">B18/B17-1</f>
        <v>2.2307065333962539E-2</v>
      </c>
      <c r="E18" s="77">
        <v>39080.733</v>
      </c>
      <c r="G18" t="s">
        <v>39</v>
      </c>
      <c r="H18" s="9">
        <f>IF(MONTH(tabula_kum!E$41)=1,tabula_kum!E56,tabula_kum!E56-tabula_kum!D56)</f>
        <v>12.152003000000001</v>
      </c>
      <c r="I18" s="9">
        <f>IF(MONTH(tabula_kum!F$41)=1,tabula_kum!F56,tabula_kum!F56-tabula_kum!E56)</f>
        <v>10.486874999999998</v>
      </c>
      <c r="J18" s="9">
        <f>IF(MONTH(tabula_kum!G$41)=1,tabula_kum!G56,tabula_kum!G56-tabula_kum!F56)</f>
        <v>12.407099000000002</v>
      </c>
      <c r="K18" s="9">
        <f>IF(MONTH(tabula_kum!H$41)=1,tabula_kum!H56,tabula_kum!H56-tabula_kum!G56)</f>
        <v>15.049543</v>
      </c>
      <c r="L18" s="9">
        <f>IF(MONTH(tabula_kum!I$41)=1,tabula_kum!I56,tabula_kum!I56-tabula_kum!H56)</f>
        <v>12.569699999999997</v>
      </c>
      <c r="M18" s="9">
        <f>IF(MONTH(tabula_kum!J$41)=1,tabula_kum!J56,tabula_kum!J56-tabula_kum!I56)</f>
        <v>12.822093000000002</v>
      </c>
      <c r="N18" s="9">
        <f>IF(MONTH(tabula_kum!K$41)=1,tabula_kum!K56,tabula_kum!K56-tabula_kum!J56)</f>
        <v>15.575290999999993</v>
      </c>
      <c r="O18" s="9">
        <f>IF(MONTH(tabula_kum!L$41)=1,tabula_kum!L56,tabula_kum!L56-tabula_kum!K56)</f>
        <v>14.706833000000003</v>
      </c>
      <c r="P18" s="9">
        <f>IF(MONTH(tabula_kum!M$41)=1,tabula_kum!M56,tabula_kum!M56-tabula_kum!L56)</f>
        <v>14.053639000000004</v>
      </c>
      <c r="Q18" s="9">
        <f>IF(MONTH(tabula_kum!N$41)=1,tabula_kum!N56,tabula_kum!N56-tabula_kum!M56)</f>
        <v>14.090000999999987</v>
      </c>
      <c r="R18" s="9">
        <f>IF(MONTH(tabula_kum!O$41)=1,tabula_kum!O56,tabula_kum!O56-tabula_kum!N56)</f>
        <v>13.384785000000022</v>
      </c>
      <c r="S18" s="9">
        <f>IF(MONTH(tabula_kum!P$41)=1,tabula_kum!P56,tabula_kum!P56-tabula_kum!O56)</f>
        <v>14.732171999999991</v>
      </c>
      <c r="T18" s="9">
        <f>IF(MONTH(tabula_kum!Q$41)=1,tabula_kum!Q56,tabula_kum!Q56-tabula_kum!P56)</f>
        <v>12.354480000000001</v>
      </c>
      <c r="U18" s="9">
        <f>IF(MONTH(tabula_kum!R$41)=1,tabula_kum!R56,tabula_kum!R56-tabula_kum!Q56)</f>
        <v>12.066961999999998</v>
      </c>
      <c r="V18" s="9">
        <f>IF(MONTH(tabula_kum!S$41)=1,tabula_kum!S56,tabula_kum!S56-tabula_kum!R56)</f>
        <v>14.342818999999999</v>
      </c>
      <c r="W18" s="9">
        <f>IF(MONTH(tabula_kum!T$41)=1,tabula_kum!T56,tabula_kum!T56-tabula_kum!S56)</f>
        <v>16.285201000000001</v>
      </c>
      <c r="X18" s="9">
        <f>IF(MONTH(tabula_kum!U$41)=1,tabula_kum!U56,tabula_kum!U56-tabula_kum!T56)</f>
        <v>13.091991</v>
      </c>
      <c r="Y18" s="9">
        <f>IF(MONTH(tabula_kum!V$41)=1,tabula_kum!V56,tabula_kum!V56-tabula_kum!U56)</f>
        <v>13.994406999999995</v>
      </c>
      <c r="Z18" s="9">
        <f>IF(MONTH(tabula_kum!W$41)=1,tabula_kum!W56,tabula_kum!W56-tabula_kum!V56)</f>
        <v>16.362363999999999</v>
      </c>
      <c r="AA18" s="9">
        <f>IF(MONTH(tabula_kum!X$41)=1,tabula_kum!X56,tabula_kum!X56-tabula_kum!W56)</f>
        <v>17.195840000000004</v>
      </c>
      <c r="AB18" s="9">
        <f>IF(MONTH(tabula_kum!Y$41)=1,tabula_kum!Y56,tabula_kum!Y56-tabula_kum!X56)</f>
        <v>15.323931000000016</v>
      </c>
      <c r="AC18" s="9">
        <f>IF(MONTH(tabula_kum!Z$41)=1,tabula_kum!Z56,tabula_kum!Z56-tabula_kum!Y56)</f>
        <v>15.394552999999974</v>
      </c>
      <c r="AD18" s="9">
        <f>IF(MONTH(tabula_kum!AA$41)=1,tabula_kum!AA56,tabula_kum!AA56-tabula_kum!Z56)</f>
        <v>15.687682000000024</v>
      </c>
      <c r="AE18" s="9">
        <f>IF(MONTH(tabula_kum!AB$41)=1,tabula_kum!AB56,tabula_kum!AB56-tabula_kum!AA56)</f>
        <v>13.69533899999999</v>
      </c>
      <c r="AF18" s="10">
        <f>IF(MONTH(tabula_kum!AC$41)=1,tabula_kum!AC56,tabula_kum!AC56-tabula_kum!AB56)</f>
        <v>13.999089</v>
      </c>
      <c r="AG18" s="9">
        <f>IF(MONTH(tabula_kum!AD$41)=1,tabula_kum!AD56,tabula_kum!AD56-tabula_kum!AC56)</f>
        <v>16.199581000000002</v>
      </c>
      <c r="AH18" s="9">
        <f>IF(MONTH(tabula_kum!AE$41)=1,tabula_kum!AE56,tabula_kum!AE56-tabula_kum!AD56)</f>
        <v>18.621668999999997</v>
      </c>
      <c r="AI18" s="9">
        <f>IF(MONTH(tabula_kum!AF$41)=1,tabula_kum!AF56,tabula_kum!AF56-tabula_kum!AE56)</f>
        <v>20.080298000000006</v>
      </c>
    </row>
    <row r="19" spans="1:45">
      <c r="A19" t="s">
        <v>132</v>
      </c>
      <c r="B19" s="10">
        <v>24773</v>
      </c>
      <c r="C19" s="17">
        <f t="shared" si="1"/>
        <v>0.16853773584905651</v>
      </c>
      <c r="D19" s="17">
        <f t="shared" si="3"/>
        <v>3.9528345432420009E-2</v>
      </c>
      <c r="E19" s="77">
        <v>39080.733</v>
      </c>
      <c r="G19" t="s">
        <v>41</v>
      </c>
      <c r="H19" s="9">
        <f>IF(MONTH(tabula_kum!E$41)=1,tabula_kum!E57,tabula_kum!E57-tabula_kum!D57)</f>
        <v>2.8099280000000002</v>
      </c>
      <c r="I19" s="9">
        <f>IF(MONTH(tabula_kum!F$41)=1,tabula_kum!F57,tabula_kum!F57-tabula_kum!E57)</f>
        <v>2.3445640000000001</v>
      </c>
      <c r="J19" s="9">
        <f>IF(MONTH(tabula_kum!G$41)=1,tabula_kum!G57,tabula_kum!G57-tabula_kum!F57)</f>
        <v>3.6692349999999996</v>
      </c>
      <c r="K19" s="9">
        <f>IF(MONTH(tabula_kum!H$41)=1,tabula_kum!H57,tabula_kum!H57-tabula_kum!G57)</f>
        <v>5.3497819999999994</v>
      </c>
      <c r="L19" s="9">
        <f>IF(MONTH(tabula_kum!I$41)=1,tabula_kum!I57,tabula_kum!I57-tabula_kum!H57)</f>
        <v>2.6756250000000001</v>
      </c>
      <c r="M19" s="9">
        <f>IF(MONTH(tabula_kum!J$41)=1,tabula_kum!J57,tabula_kum!J57-tabula_kum!I57)</f>
        <v>2.7130790000000005</v>
      </c>
      <c r="N19" s="9">
        <f>IF(MONTH(tabula_kum!K$41)=1,tabula_kum!K57,tabula_kum!K57-tabula_kum!J57)</f>
        <v>3.5789159999999995</v>
      </c>
      <c r="O19" s="9">
        <f>IF(MONTH(tabula_kum!L$41)=1,tabula_kum!L57,tabula_kum!L57-tabula_kum!K57)</f>
        <v>4.153772</v>
      </c>
      <c r="P19" s="9">
        <f>IF(MONTH(tabula_kum!M$41)=1,tabula_kum!M57,tabula_kum!M57-tabula_kum!L57)</f>
        <v>4.2092360000000006</v>
      </c>
      <c r="Q19" s="9">
        <f>IF(MONTH(tabula_kum!N$41)=1,tabula_kum!N57,tabula_kum!N57-tabula_kum!M57)</f>
        <v>3.6824820000000003</v>
      </c>
      <c r="R19" s="9">
        <f>IF(MONTH(tabula_kum!O$41)=1,tabula_kum!O57,tabula_kum!O57-tabula_kum!N57)</f>
        <v>3.1711349999999996</v>
      </c>
      <c r="S19" s="9">
        <f>IF(MONTH(tabula_kum!P$41)=1,tabula_kum!P57,tabula_kum!P57-tabula_kum!O57)</f>
        <v>3.4131690000000035</v>
      </c>
      <c r="T19" s="9">
        <f>IF(MONTH(tabula_kum!Q$41)=1,tabula_kum!Q57,tabula_kum!Q57-tabula_kum!P57)</f>
        <v>2.7620490000000002</v>
      </c>
      <c r="U19" s="9">
        <f>IF(MONTH(tabula_kum!R$41)=1,tabula_kum!R57,tabula_kum!R57-tabula_kum!Q57)</f>
        <v>2.7648269999999995</v>
      </c>
      <c r="V19" s="9">
        <f>IF(MONTH(tabula_kum!S$41)=1,tabula_kum!S57,tabula_kum!S57-tabula_kum!R57)</f>
        <v>3.5711349999999999</v>
      </c>
      <c r="W19" s="9">
        <f>IF(MONTH(tabula_kum!T$41)=1,tabula_kum!T57,tabula_kum!T57-tabula_kum!S57)</f>
        <v>2.9536010000000008</v>
      </c>
      <c r="X19" s="9">
        <f>IF(MONTH(tabula_kum!U$41)=1,tabula_kum!U57,tabula_kum!U57-tabula_kum!T57)</f>
        <v>6.4980819999999984</v>
      </c>
      <c r="Y19" s="9">
        <f>IF(MONTH(tabula_kum!V$41)=1,tabula_kum!V57,tabula_kum!V57-tabula_kum!U57)</f>
        <v>3.4923820000000028</v>
      </c>
      <c r="Z19" s="9">
        <f>IF(MONTH(tabula_kum!W$41)=1,tabula_kum!W57,tabula_kum!W57-tabula_kum!V57)</f>
        <v>3.3841139999999967</v>
      </c>
      <c r="AA19" s="9">
        <f>IF(MONTH(tabula_kum!X$41)=1,tabula_kum!X57,tabula_kum!X57-tabula_kum!W57)</f>
        <v>11.569094</v>
      </c>
      <c r="AB19" s="9">
        <f>IF(MONTH(tabula_kum!Y$41)=1,tabula_kum!Y57,tabula_kum!Y57-tabula_kum!X57)</f>
        <v>3.7378210000000038</v>
      </c>
      <c r="AC19" s="9">
        <f>IF(MONTH(tabula_kum!Z$41)=1,tabula_kum!Z57,tabula_kum!Z57-tabula_kum!Y57)</f>
        <v>3.4253509999999991</v>
      </c>
      <c r="AD19" s="9">
        <f>IF(MONTH(tabula_kum!AA$41)=1,tabula_kum!AA57,tabula_kum!AA57-tabula_kum!Z57)</f>
        <v>3.8272240000000011</v>
      </c>
      <c r="AE19" s="9">
        <f>IF(MONTH(tabula_kum!AB$41)=1,tabula_kum!AB57,tabula_kum!AB57-tabula_kum!AA57)</f>
        <v>2.6150650000000013</v>
      </c>
      <c r="AF19" s="10">
        <f>IF(MONTH(tabula_kum!AC$41)=1,tabula_kum!AC57,tabula_kum!AC57-tabula_kum!AB57)</f>
        <v>2.7800250000000002</v>
      </c>
      <c r="AG19" s="9">
        <f>IF(MONTH(tabula_kum!AD$41)=1,tabula_kum!AD57,tabula_kum!AD57-tabula_kum!AC57)</f>
        <v>2.7799689999999995</v>
      </c>
      <c r="AH19" s="9">
        <f>IF(MONTH(tabula_kum!AE$41)=1,tabula_kum!AE57,tabula_kum!AE57-tabula_kum!AD57)</f>
        <v>3.6786360000000009</v>
      </c>
      <c r="AI19" s="9">
        <f>IF(MONTH(tabula_kum!AF$41)=1,tabula_kum!AF57,tabula_kum!AF57-tabula_kum!AE57)</f>
        <v>2.855912</v>
      </c>
    </row>
    <row r="20" spans="1:45">
      <c r="A20" t="s">
        <v>135</v>
      </c>
      <c r="B20" s="10">
        <v>25373</v>
      </c>
      <c r="C20" s="17">
        <f t="shared" si="1"/>
        <v>0.19340576642679075</v>
      </c>
      <c r="D20" s="17">
        <f>B20/B19-1</f>
        <v>2.4219916844952172E-2</v>
      </c>
      <c r="E20" s="77">
        <v>39080.733</v>
      </c>
      <c r="G20" t="s">
        <v>25</v>
      </c>
      <c r="H20" s="9">
        <f>IF(MONTH(tabula_kum!E$41)=1,tabula_kum!E58,tabula_kum!E58-tabula_kum!D58)</f>
        <v>1.4605969999999999</v>
      </c>
      <c r="I20" s="9">
        <f>IF(MONTH(tabula_kum!F$41)=1,tabula_kum!F58,tabula_kum!F58-tabula_kum!E58)</f>
        <v>8.1051090000000006</v>
      </c>
      <c r="J20" s="9">
        <f>IF(MONTH(tabula_kum!G$41)=1,tabula_kum!G58,tabula_kum!G58-tabula_kum!F58)</f>
        <v>3.1239650000000001</v>
      </c>
      <c r="K20" s="9">
        <f>IF(MONTH(tabula_kum!H$41)=1,tabula_kum!H58,tabula_kum!H58-tabula_kum!G58)</f>
        <v>5.4350899999999989</v>
      </c>
      <c r="L20" s="9">
        <f>IF(MONTH(tabula_kum!I$41)=1,tabula_kum!I58,tabula_kum!I58-tabula_kum!H58)</f>
        <v>11.304331000000001</v>
      </c>
      <c r="M20" s="9">
        <f>IF(MONTH(tabula_kum!J$41)=1,tabula_kum!J58,tabula_kum!J58-tabula_kum!I58)</f>
        <v>7.8323080000000012</v>
      </c>
      <c r="N20" s="9">
        <f>IF(MONTH(tabula_kum!K$41)=1,tabula_kum!K58,tabula_kum!K58-tabula_kum!J58)</f>
        <v>7.8715559999999982</v>
      </c>
      <c r="O20" s="9">
        <f>IF(MONTH(tabula_kum!L$41)=1,tabula_kum!L58,tabula_kum!L58-tabula_kum!K58)</f>
        <v>8.0598579999999984</v>
      </c>
      <c r="P20" s="9">
        <f>IF(MONTH(tabula_kum!M$41)=1,tabula_kum!M58,tabula_kum!M58-tabula_kum!L58)</f>
        <v>17.174411000000006</v>
      </c>
      <c r="Q20" s="9">
        <f>IF(MONTH(tabula_kum!N$41)=1,tabula_kum!N58,tabula_kum!N58-tabula_kum!M58)</f>
        <v>12.53506999999999</v>
      </c>
      <c r="R20" s="9">
        <f>IF(MONTH(tabula_kum!O$41)=1,tabula_kum!O58,tabula_kum!O58-tabula_kum!N58)</f>
        <v>1.4462600000000094</v>
      </c>
      <c r="S20" s="9">
        <f>IF(MONTH(tabula_kum!P$41)=1,tabula_kum!P58,tabula_kum!P58-tabula_kum!O58)</f>
        <v>9.9518119999999897</v>
      </c>
      <c r="T20" s="9">
        <f>IF(MONTH(tabula_kum!Q$41)=1,tabula_kum!Q58,tabula_kum!Q58-tabula_kum!P58)</f>
        <v>2.2809680000000001</v>
      </c>
      <c r="U20" s="9">
        <f>IF(MONTH(tabula_kum!R$41)=1,tabula_kum!R58,tabula_kum!R58-tabula_kum!Q58)</f>
        <v>13.283596000000001</v>
      </c>
      <c r="V20" s="9">
        <f>IF(MONTH(tabula_kum!S$41)=1,tabula_kum!S58,tabula_kum!S58-tabula_kum!R58)</f>
        <v>7.748933000000001</v>
      </c>
      <c r="W20" s="9">
        <f>IF(MONTH(tabula_kum!T$41)=1,tabula_kum!T58,tabula_kum!T58-tabula_kum!S58)</f>
        <v>2.2508819999999972</v>
      </c>
      <c r="X20" s="9">
        <f>IF(MONTH(tabula_kum!U$41)=1,tabula_kum!U58,tabula_kum!U58-tabula_kum!T58)</f>
        <v>12.505989000000003</v>
      </c>
      <c r="Y20" s="9">
        <f>IF(MONTH(tabula_kum!V$41)=1,tabula_kum!V58,tabula_kum!V58-tabula_kum!U58)</f>
        <v>8.4323289999999957</v>
      </c>
      <c r="Z20" s="9">
        <f>IF(MONTH(tabula_kum!W$41)=1,tabula_kum!W58,tabula_kum!W58-tabula_kum!V58)</f>
        <v>24.079157000000009</v>
      </c>
      <c r="AA20" s="9">
        <f>IF(MONTH(tabula_kum!X$41)=1,tabula_kum!X58,tabula_kum!X58-tabula_kum!W58)</f>
        <v>3.4816059999999993</v>
      </c>
      <c r="AB20" s="9">
        <f>IF(MONTH(tabula_kum!Y$41)=1,tabula_kum!Y58,tabula_kum!Y58-tabula_kum!X58)</f>
        <v>4.6083069999999964</v>
      </c>
      <c r="AC20" s="9">
        <f>IF(MONTH(tabula_kum!Z$41)=1,tabula_kum!Z58,tabula_kum!Z58-tabula_kum!Y58)</f>
        <v>9.9111070000000012</v>
      </c>
      <c r="AD20" s="9">
        <f>IF(MONTH(tabula_kum!AA$41)=1,tabula_kum!AA58,tabula_kum!AA58-tabula_kum!Z58)</f>
        <v>6.230086</v>
      </c>
      <c r="AE20" s="9">
        <f>IF(MONTH(tabula_kum!AB$41)=1,tabula_kum!AB58,tabula_kum!AB58-tabula_kum!AA58)</f>
        <v>10.985894000000002</v>
      </c>
      <c r="AF20" s="10">
        <f>IF(MONTH(tabula_kum!AC$41)=1,tabula_kum!AC58,tabula_kum!AC58-tabula_kum!AB58)</f>
        <v>5.8013170000000001</v>
      </c>
      <c r="AG20" s="9">
        <f>IF(MONTH(tabula_kum!AD$41)=1,tabula_kum!AD58,tabula_kum!AD58-tabula_kum!AC58)</f>
        <v>6.2663149999999996</v>
      </c>
      <c r="AH20" s="9">
        <f>IF(MONTH(tabula_kum!AE$41)=1,tabula_kum!AE58,tabula_kum!AE58-tabula_kum!AD58)</f>
        <v>5.4064170000000011</v>
      </c>
      <c r="AI20" s="9">
        <f>IF(MONTH(tabula_kum!AF$41)=1,tabula_kum!AF58,tabula_kum!AF58-tabula_kum!AE58)</f>
        <v>13.342513</v>
      </c>
    </row>
    <row r="21" spans="1:45">
      <c r="A21" t="s">
        <v>158</v>
      </c>
      <c r="B21" s="10">
        <v>25928</v>
      </c>
      <c r="C21" s="17">
        <f t="shared" si="1"/>
        <v>0.21510919486362368</v>
      </c>
      <c r="D21" s="17">
        <f t="shared" ref="D21:D26" si="4">B21/B20-1</f>
        <v>2.1873645213415838E-2</v>
      </c>
      <c r="E21" s="77">
        <v>39080.733</v>
      </c>
      <c r="G21" t="s">
        <v>42</v>
      </c>
      <c r="H21" s="9">
        <f>IF(MONTH(tabula_kum!E$41)=1,tabula_kum!E59,tabula_kum!E59-tabula_kum!D59)</f>
        <v>3.4944890000000002</v>
      </c>
      <c r="I21" s="9">
        <f>IF(MONTH(tabula_kum!F$41)=1,tabula_kum!F59,tabula_kum!F59-tabula_kum!E59)</f>
        <v>5.0262349999999998</v>
      </c>
      <c r="J21" s="9">
        <f>IF(MONTH(tabula_kum!G$41)=1,tabula_kum!G59,tabula_kum!G59-tabula_kum!F59)</f>
        <v>6.8586470000000013</v>
      </c>
      <c r="K21" s="9">
        <f>IF(MONTH(tabula_kum!H$41)=1,tabula_kum!H59,tabula_kum!H59-tabula_kum!G59)</f>
        <v>7.3914199999999983</v>
      </c>
      <c r="L21" s="9">
        <f>IF(MONTH(tabula_kum!I$41)=1,tabula_kum!I59,tabula_kum!I59-tabula_kum!H59)</f>
        <v>6.2008510000000001</v>
      </c>
      <c r="M21" s="9">
        <f>IF(MONTH(tabula_kum!J$41)=1,tabula_kum!J59,tabula_kum!J59-tabula_kum!I59)</f>
        <v>10.680958999999998</v>
      </c>
      <c r="N21" s="9">
        <f>IF(MONTH(tabula_kum!K$41)=1,tabula_kum!K59,tabula_kum!K59-tabula_kum!J59)</f>
        <v>2.1213490000000021</v>
      </c>
      <c r="O21" s="9">
        <f>IF(MONTH(tabula_kum!L$41)=1,tabula_kum!L59,tabula_kum!L59-tabula_kum!K59)</f>
        <v>3.9712400000000017</v>
      </c>
      <c r="P21" s="9">
        <f>IF(MONTH(tabula_kum!M$41)=1,tabula_kum!M59,tabula_kum!M59-tabula_kum!L59)</f>
        <v>4.5327149999999961</v>
      </c>
      <c r="Q21" s="9">
        <f>IF(MONTH(tabula_kum!N$41)=1,tabula_kum!N59,tabula_kum!N59-tabula_kum!M59)</f>
        <v>3.8429120000000054</v>
      </c>
      <c r="R21" s="9">
        <f>IF(MONTH(tabula_kum!O$41)=1,tabula_kum!O59,tabula_kum!O59-tabula_kum!N59)</f>
        <v>3.2095300000000009</v>
      </c>
      <c r="S21" s="9">
        <f>IF(MONTH(tabula_kum!P$41)=1,tabula_kum!P59,tabula_kum!P59-tabula_kum!O59)</f>
        <v>4.5072649999999967</v>
      </c>
      <c r="T21" s="9">
        <f>IF(MONTH(tabula_kum!Q$41)=1,tabula_kum!Q59,tabula_kum!Q59-tabula_kum!P59)</f>
        <v>3.3746209999999999</v>
      </c>
      <c r="U21" s="9">
        <f>IF(MONTH(tabula_kum!R$41)=1,tabula_kum!R59,tabula_kum!R59-tabula_kum!Q59)</f>
        <v>2.8080279999999997</v>
      </c>
      <c r="V21" s="9">
        <f>IF(MONTH(tabula_kum!S$41)=1,tabula_kum!S59,tabula_kum!S59-tabula_kum!R59)</f>
        <v>3.3622170000000011</v>
      </c>
      <c r="W21" s="9">
        <f>IF(MONTH(tabula_kum!T$41)=1,tabula_kum!T59,tabula_kum!T59-tabula_kum!S59)</f>
        <v>3.3883229999999998</v>
      </c>
      <c r="X21" s="9">
        <f>IF(MONTH(tabula_kum!U$41)=1,tabula_kum!U59,tabula_kum!U59-tabula_kum!T59)</f>
        <v>4.4878599999999995</v>
      </c>
      <c r="Y21" s="9">
        <f>IF(MONTH(tabula_kum!V$41)=1,tabula_kum!V59,tabula_kum!V59-tabula_kum!U59)</f>
        <v>4.8693559999999998</v>
      </c>
      <c r="Z21" s="9">
        <f>IF(MONTH(tabula_kum!W$41)=1,tabula_kum!W59,tabula_kum!W59-tabula_kum!V59)</f>
        <v>3.8916760000000004</v>
      </c>
      <c r="AA21" s="9">
        <f>IF(MONTH(tabula_kum!X$41)=1,tabula_kum!X59,tabula_kum!X59-tabula_kum!W59)</f>
        <v>9.8071670000000033</v>
      </c>
      <c r="AB21" s="9">
        <f>IF(MONTH(tabula_kum!Y$41)=1,tabula_kum!Y59,tabula_kum!Y59-tabula_kum!X59)</f>
        <v>5.8240969999999948</v>
      </c>
      <c r="AC21" s="9">
        <f>IF(MONTH(tabula_kum!Z$41)=1,tabula_kum!Z59,tabula_kum!Z59-tabula_kum!Y59)</f>
        <v>6.6026519999999991</v>
      </c>
      <c r="AD21" s="9">
        <f>IF(MONTH(tabula_kum!AA$41)=1,tabula_kum!AA59,tabula_kum!AA59-tabula_kum!Z59)</f>
        <v>8.8210540000000037</v>
      </c>
      <c r="AE21" s="9">
        <f>IF(MONTH(tabula_kum!AB$41)=1,tabula_kum!AB59,tabula_kum!AB59-tabula_kum!AA59)</f>
        <v>7.8980350000000001</v>
      </c>
      <c r="AF21" s="10">
        <f>IF(MONTH(tabula_kum!AC$41)=1,tabula_kum!AC59,tabula_kum!AC59-tabula_kum!AB59)</f>
        <v>4.9997980000000002</v>
      </c>
      <c r="AG21" s="9">
        <f>IF(MONTH(tabula_kum!AD$41)=1,tabula_kum!AD59,tabula_kum!AD59-tabula_kum!AC59)</f>
        <v>5.176499999999999</v>
      </c>
      <c r="AH21" s="9">
        <f>IF(MONTH(tabula_kum!AE$41)=1,tabula_kum!AE59,tabula_kum!AE59-tabula_kum!AD59)</f>
        <v>6.476737</v>
      </c>
      <c r="AI21" s="9">
        <f>IF(MONTH(tabula_kum!AF$41)=1,tabula_kum!AF59,tabula_kum!AF59-tabula_kum!AE59)</f>
        <v>4.5547740000000019</v>
      </c>
    </row>
    <row r="22" spans="1:45">
      <c r="A22" t="s">
        <v>156</v>
      </c>
      <c r="B22" s="10">
        <v>26034</v>
      </c>
      <c r="C22" s="17">
        <f t="shared" si="1"/>
        <v>0.21551965636380621</v>
      </c>
      <c r="D22" s="17">
        <f t="shared" si="4"/>
        <v>4.0882443690219983E-3</v>
      </c>
      <c r="E22" s="77">
        <v>39080.733</v>
      </c>
      <c r="G22" t="s">
        <v>43</v>
      </c>
      <c r="H22" s="9">
        <f>IF(MONTH(tabula_kum!E$41)=1,tabula_kum!E60,tabula_kum!E60-tabula_kum!D60)</f>
        <v>2.8685779999999999</v>
      </c>
      <c r="I22" s="9">
        <f>IF(MONTH(tabula_kum!F$41)=1,tabula_kum!F60,tabula_kum!F60-tabula_kum!E60)</f>
        <v>6.378680000000001</v>
      </c>
      <c r="J22" s="9">
        <f>IF(MONTH(tabula_kum!G$41)=1,tabula_kum!G60,tabula_kum!G60-tabula_kum!F60)</f>
        <v>3.0280039999999993</v>
      </c>
      <c r="K22" s="9">
        <f>IF(MONTH(tabula_kum!H$41)=1,tabula_kum!H60,tabula_kum!H60-tabula_kum!G60)</f>
        <v>5.087511000000001</v>
      </c>
      <c r="L22" s="9">
        <f>IF(MONTH(tabula_kum!I$41)=1,tabula_kum!I60,tabula_kum!I60-tabula_kum!H60)</f>
        <v>8.7071520000000007</v>
      </c>
      <c r="M22" s="9">
        <f>IF(MONTH(tabula_kum!J$41)=1,tabula_kum!J60,tabula_kum!J60-tabula_kum!I60)</f>
        <v>4.4488239999999983</v>
      </c>
      <c r="N22" s="9">
        <f>IF(MONTH(tabula_kum!K$41)=1,tabula_kum!K60,tabula_kum!K60-tabula_kum!J60)</f>
        <v>5.7040569999999988</v>
      </c>
      <c r="O22" s="9">
        <f>IF(MONTH(tabula_kum!L$41)=1,tabula_kum!L60,tabula_kum!L60-tabula_kum!K60)</f>
        <v>8.4462940000000017</v>
      </c>
      <c r="P22" s="9">
        <f>IF(MONTH(tabula_kum!M$41)=1,tabula_kum!M60,tabula_kum!M60-tabula_kum!L60)</f>
        <v>6.1324680000000029</v>
      </c>
      <c r="Q22" s="9">
        <f>IF(MONTH(tabula_kum!N$41)=1,tabula_kum!N60,tabula_kum!N60-tabula_kum!M60)</f>
        <v>6.3292479999999998</v>
      </c>
      <c r="R22" s="9">
        <f>IF(MONTH(tabula_kum!O$41)=1,tabula_kum!O60,tabula_kum!O60-tabula_kum!N60)</f>
        <v>8.756019000000002</v>
      </c>
      <c r="S22" s="9">
        <f>IF(MONTH(tabula_kum!P$41)=1,tabula_kum!P60,tabula_kum!P60-tabula_kum!O60)</f>
        <v>6.0352999999999923</v>
      </c>
      <c r="T22" s="9">
        <f>IF(MONTH(tabula_kum!Q$41)=1,tabula_kum!Q60,tabula_kum!Q60-tabula_kum!P60)</f>
        <v>29.381547999999999</v>
      </c>
      <c r="U22" s="9">
        <f>IF(MONTH(tabula_kum!R$41)=1,tabula_kum!R60,tabula_kum!R60-tabula_kum!Q60)</f>
        <v>6.2879090000000026</v>
      </c>
      <c r="V22" s="9">
        <f>IF(MONTH(tabula_kum!S$41)=1,tabula_kum!S60,tabula_kum!S60-tabula_kum!R60)</f>
        <v>2.9123699999999957</v>
      </c>
      <c r="W22" s="9">
        <f>IF(MONTH(tabula_kum!T$41)=1,tabula_kum!T60,tabula_kum!T60-tabula_kum!S60)</f>
        <v>2.0357790000000051</v>
      </c>
      <c r="X22" s="9">
        <f>IF(MONTH(tabula_kum!U$41)=1,tabula_kum!U60,tabula_kum!U60-tabula_kum!T60)</f>
        <v>7.7134250000000009</v>
      </c>
      <c r="Y22" s="9">
        <f>IF(MONTH(tabula_kum!V$41)=1,tabula_kum!V60,tabula_kum!V60-tabula_kum!U60)</f>
        <v>4.2170899999999989</v>
      </c>
      <c r="Z22" s="9">
        <f>IF(MONTH(tabula_kum!W$41)=1,tabula_kum!W60,tabula_kum!W60-tabula_kum!V60)</f>
        <v>5.2057809999999947</v>
      </c>
      <c r="AA22" s="9">
        <f>IF(MONTH(tabula_kum!X$41)=1,tabula_kum!X60,tabula_kum!X60-tabula_kum!W60)</f>
        <v>10.920236000000003</v>
      </c>
      <c r="AB22" s="9">
        <f>IF(MONTH(tabula_kum!Y$41)=1,tabula_kum!Y60,tabula_kum!Y60-tabula_kum!X60)</f>
        <v>4.5701350000000076</v>
      </c>
      <c r="AC22" s="9">
        <f>IF(MONTH(tabula_kum!Z$41)=1,tabula_kum!Z60,tabula_kum!Z60-tabula_kum!Y60)</f>
        <v>5.5297529999999995</v>
      </c>
      <c r="AD22" s="9">
        <f>IF(MONTH(tabula_kum!AA$41)=1,tabula_kum!AA60,tabula_kum!AA60-tabula_kum!Z60)</f>
        <v>11.764226999999991</v>
      </c>
      <c r="AE22" s="9">
        <f>IF(MONTH(tabula_kum!AB$41)=1,tabula_kum!AB60,tabula_kum!AB60-tabula_kum!AA60)</f>
        <v>6.2714399999999983</v>
      </c>
      <c r="AF22" s="10">
        <f>IF(MONTH(tabula_kum!AC$41)=1,tabula_kum!AC60,tabula_kum!AC60-tabula_kum!AB60)</f>
        <v>4.7193550000000002</v>
      </c>
      <c r="AG22" s="9">
        <f>IF(MONTH(tabula_kum!AD$41)=1,tabula_kum!AD60,tabula_kum!AD60-tabula_kum!AC60)</f>
        <v>9.6784850000000002</v>
      </c>
      <c r="AH22" s="9">
        <f>IF(MONTH(tabula_kum!AE$41)=1,tabula_kum!AE60,tabula_kum!AE60-tabula_kum!AD60)</f>
        <v>4.6134649999999997</v>
      </c>
      <c r="AI22" s="9">
        <f>IF(MONTH(tabula_kum!AF$41)=1,tabula_kum!AF60,tabula_kum!AF60-tabula_kum!AE60)</f>
        <v>3.1315470000000012</v>
      </c>
    </row>
    <row r="23" spans="1:45" ht="16.5" customHeight="1">
      <c r="A23" t="s">
        <v>157</v>
      </c>
      <c r="B23" s="10">
        <v>26443</v>
      </c>
      <c r="C23" s="17">
        <f t="shared" si="1"/>
        <v>0.22172426538532619</v>
      </c>
      <c r="D23" s="17">
        <f t="shared" si="4"/>
        <v>1.5710225090266539E-2</v>
      </c>
      <c r="E23" s="77">
        <v>39080.733</v>
      </c>
      <c r="G23" t="s">
        <v>44</v>
      </c>
      <c r="H23" s="9">
        <f>IF(MONTH(tabula_kum!E$41)=1,tabula_kum!E61,tabula_kum!E61-tabula_kum!D61)</f>
        <v>3.222E-3</v>
      </c>
      <c r="I23" s="9">
        <f>IF(MONTH(tabula_kum!F$41)=1,tabula_kum!F61,tabula_kum!F61-tabula_kum!E61)</f>
        <v>1.7369999999999998E-3</v>
      </c>
      <c r="J23" s="9">
        <f>IF(MONTH(tabula_kum!G$41)=1,tabula_kum!G61,tabula_kum!G61-tabula_kum!F61)</f>
        <v>2.9490000000000002E-3</v>
      </c>
      <c r="K23" s="9">
        <f>IF(MONTH(tabula_kum!H$41)=1,tabula_kum!H61,tabula_kum!H61-tabula_kum!G61)</f>
        <v>-1.8679999999999999E-3</v>
      </c>
      <c r="L23" s="9">
        <f>IF(MONTH(tabula_kum!I$41)=1,tabula_kum!I61,tabula_kum!I61-tabula_kum!H61)</f>
        <v>-2.7160000000000001E-3</v>
      </c>
      <c r="M23" s="9">
        <f>IF(MONTH(tabula_kum!J$41)=1,tabula_kum!J61,tabula_kum!J61-tabula_kum!I61)</f>
        <v>2.9339999999999995E-3</v>
      </c>
      <c r="N23" s="9">
        <f>IF(MONTH(tabula_kum!K$41)=1,tabula_kum!K61,tabula_kum!K61-tabula_kum!J61)</f>
        <v>-4.9919999999999999E-3</v>
      </c>
      <c r="O23" s="9">
        <f>IF(MONTH(tabula_kum!L$41)=1,tabula_kum!L61,tabula_kum!L61-tabula_kum!K61)</f>
        <v>6.2699999999999995E-4</v>
      </c>
      <c r="P23" s="9">
        <f>IF(MONTH(tabula_kum!M$41)=1,tabula_kum!M61,tabula_kum!M61-tabula_kum!L61)</f>
        <v>-5.5099999999999984E-4</v>
      </c>
      <c r="Q23" s="9">
        <f>IF(MONTH(tabula_kum!N$41)=1,tabula_kum!N61,tabula_kum!N61-tabula_kum!M61)</f>
        <v>1.2899999999999997E-3</v>
      </c>
      <c r="R23" s="9">
        <f>IF(MONTH(tabula_kum!O$41)=1,tabula_kum!O61,tabula_kum!O61-tabula_kum!N61)</f>
        <v>-5.5299999999999967E-4</v>
      </c>
      <c r="S23" s="9">
        <f>IF(MONTH(tabula_kum!P$41)=1,tabula_kum!P61,tabula_kum!P61-tabula_kum!O61)</f>
        <v>-4.3100000000000018E-4</v>
      </c>
      <c r="T23" s="9">
        <f>IF(MONTH(tabula_kum!Q$41)=1,tabula_kum!Q61,tabula_kum!Q61-tabula_kum!P61)</f>
        <v>1.4530000000000001E-3</v>
      </c>
      <c r="U23" s="9">
        <f>IF(MONTH(tabula_kum!R$41)=1,tabula_kum!R61,tabula_kum!R61-tabula_kum!Q61)</f>
        <v>-9.7400000000000004E-4</v>
      </c>
      <c r="V23" s="9">
        <f>IF(MONTH(tabula_kum!S$41)=1,tabula_kum!S61,tabula_kum!S61-tabula_kum!R61)</f>
        <v>-4.7899999999999999E-4</v>
      </c>
      <c r="W23" s="9">
        <f>IF(MONTH(tabula_kum!T$41)=1,tabula_kum!T61,tabula_kum!T61-tabula_kum!S61)</f>
        <v>0</v>
      </c>
      <c r="X23" s="9">
        <f>IF(MONTH(tabula_kum!U$41)=1,tabula_kum!U61,tabula_kum!U61-tabula_kum!T61)</f>
        <v>0</v>
      </c>
      <c r="Y23" s="9">
        <f>IF(MONTH(tabula_kum!V$41)=1,tabula_kum!V61,tabula_kum!V61-tabula_kum!U61)</f>
        <v>2.3800000000000001E-4</v>
      </c>
      <c r="Z23" s="9">
        <f>IF(MONTH(tabula_kum!W$41)=1,tabula_kum!W61,tabula_kum!W61-tabula_kum!V61)</f>
        <v>-2.3800000000000001E-4</v>
      </c>
      <c r="AA23" s="9">
        <f>IF(MONTH(tabula_kum!X$41)=1,tabula_kum!X61,tabula_kum!X61-tabula_kum!W61)</f>
        <v>0</v>
      </c>
      <c r="AB23" s="9">
        <f>IF(MONTH(tabula_kum!Y$41)=1,tabula_kum!Y61,tabula_kum!Y61-tabula_kum!X61)</f>
        <v>0</v>
      </c>
      <c r="AC23" s="9">
        <f>IF(MONTH(tabula_kum!Z$41)=1,tabula_kum!Z61,tabula_kum!Z61-tabula_kum!Y61)</f>
        <v>4.2900000000000002E-4</v>
      </c>
      <c r="AD23" s="9">
        <f>IF(MONTH(tabula_kum!AA$41)=1,tabula_kum!AA61,tabula_kum!AA61-tabula_kum!Z61)</f>
        <v>-3.0900000000000003E-4</v>
      </c>
      <c r="AE23" s="9">
        <f>IF(MONTH(tabula_kum!AB$41)=1,tabula_kum!AB61,tabula_kum!AB61-tabula_kum!AA61)</f>
        <v>-1.2E-4</v>
      </c>
      <c r="AF23" s="10">
        <f>IF(MONTH(tabula_kum!AC$41)=1,tabula_kum!AC61,tabula_kum!AC61-tabula_kum!AB61)</f>
        <v>1.2E-4</v>
      </c>
      <c r="AG23" s="9">
        <f>IF(MONTH(tabula_kum!AD$41)=1,tabula_kum!AD61,tabula_kum!AD61-tabula_kum!AC61)</f>
        <v>1.4800000000000002E-4</v>
      </c>
      <c r="AH23" s="9">
        <f>IF(MONTH(tabula_kum!AE$41)=1,tabula_kum!AE61,tabula_kum!AE61-tabula_kum!AD61)</f>
        <v>-2.6800000000000001E-4</v>
      </c>
      <c r="AI23" s="9">
        <f>IF(MONTH(tabula_kum!AF$41)=1,tabula_kum!AF61,tabula_kum!AF61-tabula_kum!AE61)</f>
        <v>0</v>
      </c>
    </row>
    <row r="24" spans="1:45" ht="17.5" customHeight="1">
      <c r="A24" t="s">
        <v>159</v>
      </c>
      <c r="B24" s="10">
        <v>26653</v>
      </c>
      <c r="C24" s="17">
        <f t="shared" si="1"/>
        <v>0.21758793969849255</v>
      </c>
      <c r="D24" s="17">
        <f t="shared" si="4"/>
        <v>7.9416102560223578E-3</v>
      </c>
      <c r="E24" s="77">
        <v>39080.733</v>
      </c>
    </row>
    <row r="25" spans="1:45" hidden="1">
      <c r="A25" t="s">
        <v>160</v>
      </c>
      <c r="B25" s="10">
        <v>26955</v>
      </c>
      <c r="C25" s="17">
        <f t="shared" si="1"/>
        <v>0.218360151871271</v>
      </c>
      <c r="D25" s="17">
        <f t="shared" si="4"/>
        <v>1.1330807038607338E-2</v>
      </c>
      <c r="E25" s="77">
        <v>39080.733</v>
      </c>
      <c r="G25" s="21" t="s">
        <v>134</v>
      </c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45" hidden="1">
      <c r="A26" t="s">
        <v>116</v>
      </c>
      <c r="B26" s="10">
        <v>26833</v>
      </c>
      <c r="C26" s="17">
        <f t="shared" ref="C26" si="5">B26/B14-1</f>
        <v>0.20831269419552401</v>
      </c>
      <c r="D26" s="17">
        <f t="shared" si="4"/>
        <v>-4.5260619551104053E-3</v>
      </c>
      <c r="E26" s="77">
        <v>39080.733</v>
      </c>
      <c r="G26" s="13" t="s">
        <v>26</v>
      </c>
      <c r="T26" s="12">
        <v>833.97258699999986</v>
      </c>
      <c r="U26" s="12">
        <v>774.99764200000016</v>
      </c>
      <c r="V26" s="12">
        <v>698.45979199999999</v>
      </c>
      <c r="W26" s="12">
        <v>864.20544499999994</v>
      </c>
      <c r="X26" s="12">
        <v>847.40436800000009</v>
      </c>
      <c r="Y26" s="12">
        <v>825.41104799999994</v>
      </c>
      <c r="Z26" s="12">
        <v>937.81763300000011</v>
      </c>
      <c r="AA26" s="12">
        <v>915.96551499999998</v>
      </c>
      <c r="AB26" s="12">
        <v>877.00057499999991</v>
      </c>
      <c r="AC26" s="12">
        <v>894.28677500000015</v>
      </c>
      <c r="AD26" s="12">
        <v>863.73451600000021</v>
      </c>
      <c r="AE26" s="12">
        <v>857.42776899999978</v>
      </c>
      <c r="AF26" s="24">
        <v>1076.8774019999998</v>
      </c>
      <c r="AG26" s="24">
        <v>957.97935300000006</v>
      </c>
      <c r="AH26" s="24">
        <v>850.93956999999989</v>
      </c>
      <c r="AI26" s="24">
        <v>1002.0590399999999</v>
      </c>
      <c r="AJ26" s="24">
        <v>1008.3100470000001</v>
      </c>
      <c r="AK26" s="24">
        <v>1027.9030139999998</v>
      </c>
      <c r="AL26" s="24">
        <v>1084.7373439999999</v>
      </c>
      <c r="AM26" s="24">
        <v>1070.980127</v>
      </c>
      <c r="AN26" s="24">
        <v>1024.2296589999999</v>
      </c>
      <c r="AO26" s="24">
        <v>1062.1459970000001</v>
      </c>
      <c r="AP26" s="24">
        <v>1042.953773</v>
      </c>
      <c r="AQ26" s="24">
        <v>1035.076333</v>
      </c>
      <c r="AR26" s="22"/>
      <c r="AS26" s="13"/>
    </row>
    <row r="27" spans="1:45" hidden="1">
      <c r="A27" t="s">
        <v>161</v>
      </c>
      <c r="B27" s="10">
        <v>26975</v>
      </c>
      <c r="C27" s="17">
        <f>B27/B15-1</f>
        <v>0.21503535876762303</v>
      </c>
      <c r="D27" s="17">
        <f>B27/B26-1</f>
        <v>5.2919912048596807E-3</v>
      </c>
      <c r="E27" s="77">
        <v>43637.185087816455</v>
      </c>
      <c r="G27" s="13" t="s">
        <v>93</v>
      </c>
      <c r="T27" s="12">
        <v>22</v>
      </c>
      <c r="U27" s="12">
        <v>10</v>
      </c>
      <c r="V27" s="12">
        <v>18</v>
      </c>
      <c r="W27" s="12">
        <v>48</v>
      </c>
      <c r="X27" s="12">
        <v>48</v>
      </c>
      <c r="Y27" s="12">
        <v>35</v>
      </c>
      <c r="Z27" s="12">
        <v>29</v>
      </c>
      <c r="AA27" s="12">
        <v>27</v>
      </c>
      <c r="AB27" s="12">
        <v>18</v>
      </c>
      <c r="AC27" s="12">
        <v>22</v>
      </c>
      <c r="AD27" s="12">
        <v>19</v>
      </c>
      <c r="AE27" s="12">
        <v>20.399999999999977</v>
      </c>
      <c r="AF27" s="25">
        <v>34.799999999999997</v>
      </c>
      <c r="AG27" s="25">
        <v>21.3</v>
      </c>
      <c r="AH27" s="25">
        <v>20</v>
      </c>
      <c r="AI27" s="25">
        <v>40</v>
      </c>
      <c r="AJ27" s="25">
        <v>50</v>
      </c>
      <c r="AK27" s="25">
        <v>48</v>
      </c>
      <c r="AL27" s="25">
        <v>34</v>
      </c>
      <c r="AM27" s="25">
        <v>35.4</v>
      </c>
      <c r="AN27" s="25">
        <v>23.9</v>
      </c>
      <c r="AO27" s="25">
        <v>31</v>
      </c>
      <c r="AP27" s="25">
        <v>32</v>
      </c>
      <c r="AQ27" s="25">
        <v>31.600000000000023</v>
      </c>
      <c r="AR27" s="22"/>
      <c r="AS27" s="13"/>
    </row>
    <row r="28" spans="1:45" hidden="1">
      <c r="A28" t="s">
        <v>178</v>
      </c>
      <c r="B28" s="10">
        <v>27134</v>
      </c>
      <c r="C28" s="17">
        <f>B28/B16-1</f>
        <v>0.20264160978636636</v>
      </c>
      <c r="D28" s="17">
        <f>B28/B27-1</f>
        <v>5.8943466172380887E-3</v>
      </c>
      <c r="E28" s="77">
        <v>43637.185087816455</v>
      </c>
      <c r="G28" s="13" t="s">
        <v>24</v>
      </c>
      <c r="T28" s="12">
        <v>229.15</v>
      </c>
      <c r="U28" s="12">
        <v>224.291</v>
      </c>
      <c r="V28" s="12">
        <v>225.46600000000001</v>
      </c>
      <c r="W28" s="12">
        <v>252.64099999999999</v>
      </c>
      <c r="X28" s="12">
        <v>249.816</v>
      </c>
      <c r="Y28" s="12">
        <v>254.99100000000001</v>
      </c>
      <c r="Z28" s="12">
        <v>271.166</v>
      </c>
      <c r="AA28" s="12">
        <v>267.34100000000001</v>
      </c>
      <c r="AB28" s="12">
        <v>264.51499999999999</v>
      </c>
      <c r="AC28" s="12">
        <v>280.69</v>
      </c>
      <c r="AD28" s="12">
        <v>276.86500000000001</v>
      </c>
      <c r="AE28" s="12">
        <v>280.04095100000001</v>
      </c>
      <c r="AF28" s="25">
        <v>320.77199999999999</v>
      </c>
      <c r="AG28" s="25">
        <v>309.06199999999995</v>
      </c>
      <c r="AH28" s="25">
        <v>307.45299999999997</v>
      </c>
      <c r="AI28" s="25">
        <v>318.90299999999996</v>
      </c>
      <c r="AJ28" s="25">
        <v>305.66500000000002</v>
      </c>
      <c r="AK28" s="25">
        <v>306.04799999999994</v>
      </c>
      <c r="AL28" s="25">
        <v>313.21999999999997</v>
      </c>
      <c r="AM28" s="25">
        <v>318.28699999999992</v>
      </c>
      <c r="AN28" s="25">
        <v>309.19499999999994</v>
      </c>
      <c r="AO28" s="25">
        <v>319.51599999999996</v>
      </c>
      <c r="AP28" s="25">
        <v>328.01799999999997</v>
      </c>
      <c r="AQ28" s="25">
        <v>330.09500000000025</v>
      </c>
      <c r="AR28" s="22"/>
      <c r="AS28" s="13"/>
    </row>
    <row r="29" spans="1:45" hidden="1">
      <c r="A29" t="s">
        <v>179</v>
      </c>
      <c r="B29" s="10">
        <v>27335</v>
      </c>
      <c r="C29" s="17">
        <f>B29/B17-1</f>
        <v>0.17262236712281753</v>
      </c>
      <c r="D29" s="17">
        <f>B29/B28-1</f>
        <v>7.4076804009730601E-3</v>
      </c>
      <c r="E29" s="77">
        <v>43637.185087816455</v>
      </c>
      <c r="F29" s="11"/>
      <c r="G29" s="13" t="s">
        <v>33</v>
      </c>
      <c r="T29" s="12">
        <v>97.059999999999974</v>
      </c>
      <c r="U29" s="12">
        <v>83.608999999999995</v>
      </c>
      <c r="V29" s="12">
        <v>82.265000000000015</v>
      </c>
      <c r="W29" s="12">
        <v>90.040999999999983</v>
      </c>
      <c r="X29" s="12">
        <v>94.412999999999982</v>
      </c>
      <c r="Y29" s="12">
        <v>101.848</v>
      </c>
      <c r="Z29" s="12">
        <v>104.58700000000002</v>
      </c>
      <c r="AA29" s="12">
        <v>110.07600000000001</v>
      </c>
      <c r="AB29" s="12">
        <v>111.164</v>
      </c>
      <c r="AC29" s="12">
        <v>100.434</v>
      </c>
      <c r="AD29" s="12">
        <v>96.966000000000008</v>
      </c>
      <c r="AE29" s="12">
        <v>94.336999999999961</v>
      </c>
      <c r="AF29" s="25">
        <v>94.691999999999979</v>
      </c>
      <c r="AG29" s="25">
        <v>86.416999999999987</v>
      </c>
      <c r="AH29" s="25">
        <v>83.446000000000012</v>
      </c>
      <c r="AI29" s="25">
        <v>96.965000000000003</v>
      </c>
      <c r="AJ29" s="25">
        <v>91.991</v>
      </c>
      <c r="AK29" s="25">
        <v>104.38700000000001</v>
      </c>
      <c r="AL29" s="25">
        <v>109.08099999999999</v>
      </c>
      <c r="AM29" s="25">
        <v>112.19299999999998</v>
      </c>
      <c r="AN29" s="25">
        <v>111.039</v>
      </c>
      <c r="AO29" s="25">
        <v>102.38400000000001</v>
      </c>
      <c r="AP29" s="25">
        <v>98.108000000000004</v>
      </c>
      <c r="AQ29" s="25">
        <v>96.997000000000014</v>
      </c>
      <c r="AR29" s="22"/>
      <c r="AS29" s="13"/>
    </row>
    <row r="30" spans="1:45" hidden="1">
      <c r="A30" t="s">
        <v>180</v>
      </c>
      <c r="B30" s="10">
        <v>27427</v>
      </c>
      <c r="C30" s="17">
        <f>B30/B18-1</f>
        <v>0.15089589190550123</v>
      </c>
      <c r="D30" s="17">
        <f>B30/B29-1</f>
        <v>3.3656484360709005E-3</v>
      </c>
      <c r="E30" s="77">
        <v>43637.185087816455</v>
      </c>
      <c r="G30" s="13" t="s">
        <v>94</v>
      </c>
      <c r="T30" s="12">
        <v>0.46200000000000002</v>
      </c>
      <c r="U30" s="12">
        <v>0.44900000000000001</v>
      </c>
      <c r="V30" s="12">
        <v>0.42499999999999999</v>
      </c>
      <c r="W30" s="12">
        <v>0.435</v>
      </c>
      <c r="X30" s="12">
        <v>0.38600000000000001</v>
      </c>
      <c r="Y30" s="12">
        <v>0.38800000000000001</v>
      </c>
      <c r="Z30" s="12">
        <v>0.374</v>
      </c>
      <c r="AA30" s="12">
        <v>0.377</v>
      </c>
      <c r="AB30" s="12">
        <v>0.40799999999999997</v>
      </c>
      <c r="AC30" s="12">
        <v>0.38200000000000001</v>
      </c>
      <c r="AD30" s="12">
        <v>0.41499999999999998</v>
      </c>
      <c r="AE30" s="12">
        <v>0.36299999999999955</v>
      </c>
      <c r="AF30" s="25">
        <v>0.48899999999999999</v>
      </c>
      <c r="AG30" s="25">
        <v>0.42</v>
      </c>
      <c r="AH30" s="25">
        <v>0.433</v>
      </c>
      <c r="AI30" s="25">
        <v>0.45400000000000001</v>
      </c>
      <c r="AJ30" s="25">
        <v>0.41799999999999998</v>
      </c>
      <c r="AK30" s="25">
        <v>0.40600000000000003</v>
      </c>
      <c r="AL30" s="25">
        <v>0.39300000000000002</v>
      </c>
      <c r="AM30" s="25">
        <v>0.39100000000000001</v>
      </c>
      <c r="AN30" s="25">
        <v>0.41799999999999998</v>
      </c>
      <c r="AO30" s="25">
        <v>0.373</v>
      </c>
      <c r="AP30" s="25">
        <v>0.40500000000000003</v>
      </c>
      <c r="AQ30" s="25">
        <v>0.5</v>
      </c>
      <c r="AR30" s="22"/>
      <c r="AS30" s="13"/>
    </row>
    <row r="31" spans="1:45" hidden="1">
      <c r="G31" s="13" t="s">
        <v>32</v>
      </c>
      <c r="T31" s="12">
        <v>5.1079999999999997</v>
      </c>
      <c r="U31" s="12">
        <v>4.97</v>
      </c>
      <c r="V31" s="12">
        <v>5.2309999999999999</v>
      </c>
      <c r="W31" s="12">
        <v>4.9820000000000002</v>
      </c>
      <c r="X31" s="12">
        <v>4.9509999999999996</v>
      </c>
      <c r="Y31" s="12">
        <v>4.8849999999999998</v>
      </c>
      <c r="Z31" s="12">
        <v>5.0220000000000002</v>
      </c>
      <c r="AA31" s="12">
        <v>5.5190000000000001</v>
      </c>
      <c r="AB31" s="12">
        <v>5.3639999999999999</v>
      </c>
      <c r="AC31" s="12">
        <v>5.9630000000000001</v>
      </c>
      <c r="AD31" s="12">
        <v>5.3559999999999999</v>
      </c>
      <c r="AE31" s="12">
        <v>4.5489999999999995</v>
      </c>
      <c r="AF31" s="25">
        <v>7</v>
      </c>
      <c r="AG31" s="25">
        <v>6.5</v>
      </c>
      <c r="AH31" s="25">
        <v>7</v>
      </c>
      <c r="AI31" s="25">
        <v>7</v>
      </c>
      <c r="AJ31" s="25">
        <v>6.9</v>
      </c>
      <c r="AK31" s="25">
        <v>6.5</v>
      </c>
      <c r="AL31" s="25">
        <v>6.9</v>
      </c>
      <c r="AM31" s="25">
        <v>7.5</v>
      </c>
      <c r="AN31" s="25">
        <v>7.5</v>
      </c>
      <c r="AO31" s="25">
        <v>8.4</v>
      </c>
      <c r="AP31" s="25">
        <v>7.8</v>
      </c>
      <c r="AQ31" s="25">
        <v>6.7999999999999972</v>
      </c>
      <c r="AR31" s="22"/>
      <c r="AS31" s="13"/>
    </row>
    <row r="32" spans="1:45" hidden="1">
      <c r="G32" s="13" t="s">
        <v>95</v>
      </c>
      <c r="T32" s="12">
        <v>178.7</v>
      </c>
      <c r="U32" s="12">
        <v>162.69999999999999</v>
      </c>
      <c r="V32" s="12">
        <v>49.9</v>
      </c>
      <c r="W32" s="12">
        <v>137.80000000000001</v>
      </c>
      <c r="X32" s="12">
        <v>137.80000000000001</v>
      </c>
      <c r="Y32" s="12">
        <v>133.80000000000001</v>
      </c>
      <c r="Z32" s="12">
        <v>191.7</v>
      </c>
      <c r="AA32" s="12">
        <v>175.7</v>
      </c>
      <c r="AB32" s="12">
        <v>173.7</v>
      </c>
      <c r="AC32" s="12">
        <v>176.7</v>
      </c>
      <c r="AD32" s="12">
        <v>170.7</v>
      </c>
      <c r="AE32" s="12">
        <v>172.76999999999987</v>
      </c>
      <c r="AF32" s="25">
        <v>237</v>
      </c>
      <c r="AG32" s="25">
        <v>190</v>
      </c>
      <c r="AH32" s="25">
        <v>67</v>
      </c>
      <c r="AI32" s="25">
        <v>170</v>
      </c>
      <c r="AJ32" s="25">
        <v>181</v>
      </c>
      <c r="AK32" s="25">
        <v>200</v>
      </c>
      <c r="AL32" s="25">
        <v>228.1</v>
      </c>
      <c r="AM32" s="25">
        <v>208</v>
      </c>
      <c r="AN32" s="25">
        <v>215</v>
      </c>
      <c r="AO32" s="25">
        <v>224</v>
      </c>
      <c r="AP32" s="25">
        <v>207.1</v>
      </c>
      <c r="AQ32" s="25">
        <v>216.79999999999995</v>
      </c>
      <c r="AR32" s="22"/>
      <c r="AS32" s="13"/>
    </row>
    <row r="33" spans="7:45" hidden="1">
      <c r="G33" s="13" t="s">
        <v>96</v>
      </c>
      <c r="T33" s="23">
        <v>3.2709999999999999</v>
      </c>
      <c r="U33" s="23">
        <v>4.0110000000000001</v>
      </c>
      <c r="V33" s="23">
        <v>3.887</v>
      </c>
      <c r="W33" s="23">
        <v>4.1030000000000006</v>
      </c>
      <c r="X33" s="23">
        <v>4.0129999999999999</v>
      </c>
      <c r="Y33" s="23">
        <v>4.1920000000000002</v>
      </c>
      <c r="Z33" s="23">
        <v>3.8360000000000003</v>
      </c>
      <c r="AA33" s="23">
        <v>4.0739999999999998</v>
      </c>
      <c r="AB33" s="23">
        <v>4.0709999999999997</v>
      </c>
      <c r="AC33" s="23">
        <v>4.0529999999999999</v>
      </c>
      <c r="AD33" s="23">
        <v>4.2189999999999994</v>
      </c>
      <c r="AE33" s="23">
        <v>4.1640000000000006</v>
      </c>
      <c r="AF33" s="25">
        <v>3.585</v>
      </c>
      <c r="AG33" s="25">
        <v>3.585</v>
      </c>
      <c r="AH33" s="25">
        <v>3.585</v>
      </c>
      <c r="AI33" s="25">
        <v>3.585</v>
      </c>
      <c r="AJ33" s="25">
        <v>3.585</v>
      </c>
      <c r="AK33" s="25">
        <v>3.585</v>
      </c>
      <c r="AL33" s="25">
        <v>3.585</v>
      </c>
      <c r="AM33" s="25">
        <v>3.585</v>
      </c>
      <c r="AN33" s="25">
        <v>3.585</v>
      </c>
      <c r="AO33" s="25">
        <v>3.585</v>
      </c>
      <c r="AP33" s="25">
        <v>3.585</v>
      </c>
      <c r="AQ33" s="25">
        <v>3.2219999999999995</v>
      </c>
      <c r="AR33" s="22"/>
      <c r="AS33" s="13"/>
    </row>
    <row r="34" spans="7:45" hidden="1">
      <c r="G34" s="13" t="s">
        <v>97</v>
      </c>
      <c r="T34" s="23">
        <v>9.2889999999999979</v>
      </c>
      <c r="U34" s="23">
        <v>0.85699999999999998</v>
      </c>
      <c r="V34" s="23">
        <v>0.57900000000000007</v>
      </c>
      <c r="W34" s="23">
        <v>9.8609999999999989</v>
      </c>
      <c r="X34" s="23">
        <v>0.65999999999999992</v>
      </c>
      <c r="Y34" s="23">
        <v>0.71099999999999997</v>
      </c>
      <c r="Z34" s="23">
        <v>9.4999999999999982</v>
      </c>
      <c r="AA34" s="23">
        <v>0.81299999999999994</v>
      </c>
      <c r="AB34" s="23">
        <v>0.751</v>
      </c>
      <c r="AC34" s="23">
        <v>9.8930000000000007</v>
      </c>
      <c r="AD34" s="23">
        <v>0.83899999999999997</v>
      </c>
      <c r="AE34" s="23">
        <v>0.79577599999999293</v>
      </c>
      <c r="AF34" s="25">
        <v>14.1</v>
      </c>
      <c r="AG34" s="25">
        <v>0.60000000000000009</v>
      </c>
      <c r="AH34" s="25">
        <v>0.79999999999999993</v>
      </c>
      <c r="AI34" s="25">
        <v>12.4</v>
      </c>
      <c r="AJ34" s="25">
        <v>0.10000000000000009</v>
      </c>
      <c r="AK34" s="25">
        <v>1</v>
      </c>
      <c r="AL34" s="25">
        <v>14.799999999999999</v>
      </c>
      <c r="AM34" s="25">
        <v>0.39999999999999991</v>
      </c>
      <c r="AN34" s="25">
        <v>1</v>
      </c>
      <c r="AO34" s="25">
        <v>13.7</v>
      </c>
      <c r="AP34" s="25">
        <v>0.39999999999999991</v>
      </c>
      <c r="AQ34" s="25">
        <v>1.1000000000000001</v>
      </c>
      <c r="AR34" s="22"/>
      <c r="AS34" s="13"/>
    </row>
    <row r="35" spans="7:45" hidden="1">
      <c r="G35" s="13" t="s">
        <v>98</v>
      </c>
      <c r="T35" s="23">
        <v>11.262</v>
      </c>
      <c r="U35" s="23">
        <v>8.3450000000000006</v>
      </c>
      <c r="V35" s="23">
        <v>9.3089999999999993</v>
      </c>
      <c r="W35" s="23">
        <v>8.8699999999999992</v>
      </c>
      <c r="X35" s="23">
        <v>9.0220000000000002</v>
      </c>
      <c r="Y35" s="23">
        <v>8.7170000000000005</v>
      </c>
      <c r="Z35" s="23">
        <v>10.02</v>
      </c>
      <c r="AA35" s="23">
        <v>9.0609999999999999</v>
      </c>
      <c r="AB35" s="23">
        <v>8.3580000000000005</v>
      </c>
      <c r="AC35" s="23">
        <v>8.9309999999999992</v>
      </c>
      <c r="AD35" s="23">
        <v>7.6859999999999999</v>
      </c>
      <c r="AE35" s="23">
        <v>6.5589080000000024</v>
      </c>
      <c r="AF35" s="25">
        <v>11.300000000000002</v>
      </c>
      <c r="AG35" s="25">
        <v>8.1999999999999993</v>
      </c>
      <c r="AH35" s="25">
        <v>9.9</v>
      </c>
      <c r="AI35" s="25">
        <v>8.1</v>
      </c>
      <c r="AJ35" s="25">
        <v>9.1999999999999993</v>
      </c>
      <c r="AK35" s="25">
        <v>8.3999999999999986</v>
      </c>
      <c r="AL35" s="25">
        <v>9.0000000000000018</v>
      </c>
      <c r="AM35" s="25">
        <v>9.1</v>
      </c>
      <c r="AN35" s="25">
        <v>7.9</v>
      </c>
      <c r="AO35" s="25">
        <v>7.5</v>
      </c>
      <c r="AP35" s="25">
        <v>7</v>
      </c>
      <c r="AQ35" s="25">
        <v>6.4</v>
      </c>
      <c r="AR35" s="22"/>
      <c r="AS35" s="13"/>
    </row>
    <row r="36" spans="7:45" hidden="1">
      <c r="G36" s="13" t="s">
        <v>99</v>
      </c>
      <c r="T36" s="23">
        <v>1.74</v>
      </c>
      <c r="U36" s="23">
        <v>1.633</v>
      </c>
      <c r="V36" s="23">
        <v>1.802</v>
      </c>
      <c r="W36" s="23">
        <v>1.8140000000000001</v>
      </c>
      <c r="X36" s="23">
        <v>1.819</v>
      </c>
      <c r="Y36" s="23">
        <v>1.8340000000000001</v>
      </c>
      <c r="Z36" s="23">
        <v>1.903</v>
      </c>
      <c r="AA36" s="23">
        <v>1.9079999999999999</v>
      </c>
      <c r="AB36" s="23">
        <v>1.8979999999999999</v>
      </c>
      <c r="AC36" s="23">
        <v>1.996</v>
      </c>
      <c r="AD36" s="23">
        <v>1.954</v>
      </c>
      <c r="AE36" s="23">
        <v>2.6190000000000033</v>
      </c>
      <c r="AF36" s="25">
        <v>1.5</v>
      </c>
      <c r="AG36" s="25">
        <v>1.6</v>
      </c>
      <c r="AH36" s="25">
        <v>1.8</v>
      </c>
      <c r="AI36" s="25">
        <v>1.5</v>
      </c>
      <c r="AJ36" s="25">
        <v>1.5</v>
      </c>
      <c r="AK36" s="25">
        <v>1.6</v>
      </c>
      <c r="AL36" s="25">
        <v>1.8999999999999997</v>
      </c>
      <c r="AM36" s="25">
        <v>2.1</v>
      </c>
      <c r="AN36" s="25">
        <v>2.1</v>
      </c>
      <c r="AO36" s="25">
        <v>1.8999999999999997</v>
      </c>
      <c r="AP36" s="25">
        <v>2</v>
      </c>
      <c r="AQ36" s="25">
        <v>2.6000000000000014</v>
      </c>
      <c r="AR36" s="22"/>
      <c r="AS36" s="13"/>
    </row>
    <row r="37" spans="7:45" hidden="1">
      <c r="G37" s="13" t="s">
        <v>100</v>
      </c>
      <c r="T37" s="23">
        <v>269.76058699999999</v>
      </c>
      <c r="U37" s="23">
        <v>239.53264200000004</v>
      </c>
      <c r="V37" s="23">
        <v>245.47579200000001</v>
      </c>
      <c r="W37" s="23">
        <v>293.51844499999999</v>
      </c>
      <c r="X37" s="23">
        <v>263.84436799999997</v>
      </c>
      <c r="Y37" s="23">
        <v>272.88504799999998</v>
      </c>
      <c r="Z37" s="23">
        <v>302.90963300000004</v>
      </c>
      <c r="AA37" s="23">
        <v>283.56651499999998</v>
      </c>
      <c r="AB37" s="23">
        <v>283.41157499999997</v>
      </c>
      <c r="AC37" s="23">
        <v>275.11477500000001</v>
      </c>
      <c r="AD37" s="23">
        <v>252.00451600000002</v>
      </c>
      <c r="AE37" s="23">
        <v>264.07013399999994</v>
      </c>
      <c r="AF37" s="25">
        <v>346.64940200000001</v>
      </c>
      <c r="AG37" s="25">
        <v>294.04535299999998</v>
      </c>
      <c r="AH37" s="25">
        <v>297.13256999999999</v>
      </c>
      <c r="AI37" s="25">
        <v>330.13203999999996</v>
      </c>
      <c r="AJ37" s="25">
        <v>328.57104699999996</v>
      </c>
      <c r="AK37" s="25">
        <v>339.10701399999999</v>
      </c>
      <c r="AL37" s="25">
        <v>355.528344</v>
      </c>
      <c r="AM37" s="25">
        <v>344.24412699999999</v>
      </c>
      <c r="AN37" s="25">
        <v>336.75265899999999</v>
      </c>
      <c r="AO37" s="25">
        <v>341.70799699999998</v>
      </c>
      <c r="AP37" s="25">
        <v>329.247773</v>
      </c>
      <c r="AQ37" s="25">
        <v>332.40233299999977</v>
      </c>
      <c r="AR37" s="22"/>
      <c r="AS37" s="13"/>
    </row>
    <row r="38" spans="7:45" hidden="1">
      <c r="G38" s="13" t="s">
        <v>101</v>
      </c>
      <c r="T38" s="23">
        <v>6.17</v>
      </c>
      <c r="U38" s="23">
        <v>34.6</v>
      </c>
      <c r="V38" s="23">
        <v>56.12</v>
      </c>
      <c r="W38" s="23">
        <v>12.14</v>
      </c>
      <c r="X38" s="23">
        <v>32.68</v>
      </c>
      <c r="Y38" s="23">
        <v>6.16</v>
      </c>
      <c r="Z38" s="23">
        <v>7.8</v>
      </c>
      <c r="AA38" s="23">
        <v>30.53</v>
      </c>
      <c r="AB38" s="23">
        <v>5.36</v>
      </c>
      <c r="AC38" s="23">
        <v>8.1300000000000008</v>
      </c>
      <c r="AD38" s="23">
        <v>27.73</v>
      </c>
      <c r="AE38" s="23">
        <v>6.76</v>
      </c>
      <c r="AF38" s="25">
        <v>4.99</v>
      </c>
      <c r="AG38" s="25">
        <v>36.25</v>
      </c>
      <c r="AH38" s="25">
        <v>52.39</v>
      </c>
      <c r="AI38" s="25">
        <v>13.02</v>
      </c>
      <c r="AJ38" s="25">
        <v>29.38</v>
      </c>
      <c r="AK38" s="25">
        <v>8.8699999999999992</v>
      </c>
      <c r="AL38" s="25">
        <v>8.23</v>
      </c>
      <c r="AM38" s="25">
        <v>29.78</v>
      </c>
      <c r="AN38" s="25">
        <v>5.84</v>
      </c>
      <c r="AO38" s="25">
        <v>8.08</v>
      </c>
      <c r="AP38" s="25">
        <v>27.29</v>
      </c>
      <c r="AQ38" s="25">
        <v>6.5600000000000023</v>
      </c>
      <c r="AR38" s="22"/>
      <c r="AS38" s="13"/>
    </row>
    <row r="39" spans="7:45"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7:45"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7:45" hidden="1"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7:45" ht="10.5" hidden="1" customHeight="1">
      <c r="H42" s="10"/>
      <c r="K42" s="9"/>
      <c r="O42" s="9"/>
      <c r="P42" s="9"/>
      <c r="Q42" s="9"/>
    </row>
    <row r="43" spans="7:45" ht="33" hidden="1" customHeight="1">
      <c r="G43" t="s">
        <v>86</v>
      </c>
      <c r="H43" s="10">
        <f ca="1">tabula_kum!E33</f>
        <v>4</v>
      </c>
      <c r="K43" s="9"/>
      <c r="O43" s="9"/>
      <c r="P43" s="9"/>
      <c r="Q43" s="9"/>
    </row>
    <row r="44" spans="7:45" hidden="1">
      <c r="H44" s="10"/>
      <c r="K44" s="9"/>
      <c r="O44" s="9"/>
      <c r="P44" s="9"/>
      <c r="Q44" s="9"/>
    </row>
    <row r="45" spans="7:45" hidden="1">
      <c r="H45" s="10"/>
      <c r="K45" s="9"/>
      <c r="O45" s="9"/>
      <c r="P45" s="9"/>
      <c r="Q45" s="9"/>
    </row>
    <row r="46" spans="7:45" hidden="1">
      <c r="H46" s="10"/>
      <c r="K46" s="9"/>
      <c r="O46" s="9"/>
      <c r="P46" s="9"/>
      <c r="Q46" s="9"/>
    </row>
    <row r="47" spans="7:45" hidden="1">
      <c r="H47" s="10"/>
    </row>
    <row r="48" spans="7:45">
      <c r="H48" s="10"/>
    </row>
    <row r="49" spans="8:8">
      <c r="H49" s="10"/>
    </row>
    <row r="50" spans="8:8">
      <c r="H50" s="10"/>
    </row>
    <row r="51" spans="8:8">
      <c r="H51" s="10"/>
    </row>
    <row r="52" spans="8:8">
      <c r="H52" s="10"/>
    </row>
    <row r="53" spans="8:8">
      <c r="H53" s="10"/>
    </row>
    <row r="54" spans="8:8">
      <c r="H54" s="10"/>
    </row>
    <row r="55" spans="8:8">
      <c r="H55" s="10"/>
    </row>
    <row r="56" spans="8:8">
      <c r="H56" s="10"/>
    </row>
    <row r="57" spans="8:8">
      <c r="H57" s="10"/>
    </row>
    <row r="58" spans="8:8">
      <c r="H58" s="10"/>
    </row>
    <row r="59" spans="8:8">
      <c r="H59" s="10"/>
    </row>
    <row r="60" spans="8:8">
      <c r="H60" s="10"/>
    </row>
    <row r="61" spans="8:8">
      <c r="H61" s="10"/>
    </row>
    <row r="62" spans="8:8">
      <c r="H62" s="10"/>
    </row>
    <row r="63" spans="8:8">
      <c r="H63" s="10"/>
    </row>
    <row r="64" spans="8:8">
      <c r="H64" s="10"/>
    </row>
    <row r="65" spans="8:8">
      <c r="H65" s="10"/>
    </row>
    <row r="66" spans="8:8">
      <c r="H66" s="10"/>
    </row>
    <row r="67" spans="8:8">
      <c r="H67" s="10"/>
    </row>
    <row r="68" spans="8:8">
      <c r="H68" s="10"/>
    </row>
    <row r="69" spans="8:8">
      <c r="H69" s="10"/>
    </row>
    <row r="70" spans="8:8">
      <c r="H70" s="10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E4B2-0587-4380-A307-5C2C4148950B}">
  <sheetPr>
    <tabColor theme="9" tint="0.59999389629810485"/>
  </sheetPr>
  <dimension ref="A1:S67"/>
  <sheetViews>
    <sheetView zoomScale="60" zoomScaleNormal="60" workbookViewId="0">
      <selection sqref="A1:L1"/>
    </sheetView>
  </sheetViews>
  <sheetFormatPr defaultRowHeight="14.5"/>
  <cols>
    <col min="1" max="1" width="18.453125" style="19" bestFit="1" customWidth="1"/>
    <col min="2" max="2" width="32.54296875" style="19" customWidth="1"/>
    <col min="3" max="3" width="12.81640625" style="19" bestFit="1" customWidth="1"/>
    <col min="4" max="5" width="13.54296875" style="19" bestFit="1" customWidth="1"/>
    <col min="6" max="6" width="20.81640625" style="19" customWidth="1"/>
    <col min="7" max="7" width="25" style="19" customWidth="1"/>
    <col min="8" max="8" width="17" style="19" customWidth="1"/>
    <col min="9" max="9" width="15.81640625" style="19" customWidth="1"/>
    <col min="10" max="10" width="13.453125" style="19" customWidth="1"/>
    <col min="11" max="11" width="13.1796875" style="19" customWidth="1"/>
    <col min="12" max="19" width="8.7265625" style="19"/>
  </cols>
  <sheetData>
    <row r="1" spans="1:12">
      <c r="A1" s="90" t="s">
        <v>102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>
      <c r="A2" s="55" t="s">
        <v>75</v>
      </c>
      <c r="B2" s="56" t="s">
        <v>81</v>
      </c>
      <c r="C2" s="56"/>
      <c r="D2" s="56" t="s">
        <v>82</v>
      </c>
      <c r="E2" s="56"/>
      <c r="F2" s="93" t="s">
        <v>83</v>
      </c>
      <c r="G2" s="94"/>
      <c r="H2" s="93" t="s">
        <v>83</v>
      </c>
      <c r="I2" s="94"/>
      <c r="J2" s="93" t="s">
        <v>124</v>
      </c>
      <c r="K2" s="94"/>
      <c r="L2" s="73"/>
    </row>
    <row r="3" spans="1:12">
      <c r="A3" s="55"/>
      <c r="B3" s="56" t="s">
        <v>6</v>
      </c>
      <c r="C3" s="56" t="s">
        <v>7</v>
      </c>
      <c r="D3" s="56" t="s">
        <v>6</v>
      </c>
      <c r="E3" s="56" t="s">
        <v>7</v>
      </c>
      <c r="F3" s="57" t="s">
        <v>6</v>
      </c>
      <c r="G3" s="56" t="s">
        <v>7</v>
      </c>
      <c r="H3" s="57" t="s">
        <v>6</v>
      </c>
      <c r="I3" s="57" t="s">
        <v>7</v>
      </c>
      <c r="J3" s="57" t="s">
        <v>6</v>
      </c>
      <c r="K3" s="57" t="s">
        <v>7</v>
      </c>
      <c r="L3" s="74" t="s">
        <v>127</v>
      </c>
    </row>
    <row r="4" spans="1:12">
      <c r="A4" s="55"/>
      <c r="B4" s="57" t="s">
        <v>165</v>
      </c>
      <c r="C4" s="57" t="s">
        <v>166</v>
      </c>
      <c r="D4" s="57" t="s">
        <v>167</v>
      </c>
      <c r="E4" s="57" t="s">
        <v>168</v>
      </c>
      <c r="F4" s="57" t="s">
        <v>169</v>
      </c>
      <c r="G4" s="56" t="s">
        <v>170</v>
      </c>
      <c r="H4" s="57" t="s">
        <v>169</v>
      </c>
      <c r="I4" s="56" t="s">
        <v>170</v>
      </c>
      <c r="J4" s="58" t="s">
        <v>171</v>
      </c>
      <c r="K4" s="75" t="s">
        <v>172</v>
      </c>
      <c r="L4" s="59" t="s">
        <v>126</v>
      </c>
    </row>
    <row r="5" spans="1:12">
      <c r="A5" s="60" t="s">
        <v>76</v>
      </c>
      <c r="B5" s="44">
        <f ca="1">SUM(INDIRECT(ADDRESS(ROW(tabula_ikm!G$7),COLUMN(tabula_ikm!G$1)+ROW(tabula_ikm!G1)+12,1,1,"tabula_ikm")):INDIRECT(ADDRESS(ROW(tabula_ikm!G$7),COLUMN(tabula_ikm!G$1)+ROW(tabula_ikm!G1)*(tabula_kum!$E$33)+12,1,1,"tabula_ikm")))</f>
        <v>1178.6191940000001</v>
      </c>
      <c r="C5" s="44">
        <f ca="1">SUM(INDIRECT(ADDRESS(ROW(tabula_ikm!G$7),COLUMN(tabula_ikm!G$1)+ROW(tabula_ikm!G1)+24,1,1,"tabula_ikm")):INDIRECT(ADDRESS(ROW(tabula_ikm!G$7),COLUMN(tabula_ikm!G$1)+ROW(tabula_ikm!G1)*(tabula_kum!$E$33)+24,1,1,"tabula_ikm")))</f>
        <v>1272.9111780000001</v>
      </c>
      <c r="D5" s="44" cm="1">
        <f t="array" aca="1" ref="D5" ca="1">INDIRECT(ADDRESS(ROW(tabula_kum!D$29),COLUMN(tabula_kum!D$1)+ROW(tabula_kum!A1)+12,1,1,"tabula_kum"))</f>
        <v>3246.0940300000002</v>
      </c>
      <c r="E5" s="44" cm="1">
        <f t="array" aca="1" ref="E5" ca="1">INDIRECT(ADDRESS(ROW(tabula_kum!D$29),COLUMN(tabula_kum!D$1)+ROW(tabula_kum!A1)+24,1,1,"tabula_kum"))</f>
        <v>3975.5206589999989</v>
      </c>
      <c r="F5" s="61">
        <f ca="1">B5/D5</f>
        <v>0.36308843277716141</v>
      </c>
      <c r="G5" s="61">
        <f ca="1">C5/E5</f>
        <v>0.32018728795140705</v>
      </c>
      <c r="H5" s="61">
        <f ca="1">IFERROR(B5/D5,"")</f>
        <v>0.36308843277716141</v>
      </c>
      <c r="I5" s="61">
        <f ca="1">IFERROR(C5/E5,"")</f>
        <v>0.32018728795140705</v>
      </c>
      <c r="J5" s="83" cm="1">
        <f t="array" aca="1" ref="J5" ca="1">B5/INDIRECT(ADDRESS(ROW(tabula_kum!D$36),COLUMN(tabula_kum!D$36)+2,1,1,"tabula_kum"))</f>
        <v>3.0158574405449359E-2</v>
      </c>
      <c r="K5" s="88" cm="1">
        <f t="array" aca="1" ref="K5" ca="1">C5/INDIRECT(ADDRESS(ROW(tabula_kum!D$36),COLUMN(tabula_kum!D$36)+3,1,1,"tabula_kum"))</f>
        <v>2.9170332033066865E-2</v>
      </c>
      <c r="L5" s="81">
        <f ca="1">K5-J5</f>
        <v>-9.8824237238249318E-4</v>
      </c>
    </row>
    <row r="6" spans="1:12">
      <c r="A6" s="60" t="s">
        <v>77</v>
      </c>
      <c r="B6" s="44">
        <f ca="1">SUM(INDIRECT(ADDRESS(ROW(tabula_ikm!G$11),COLUMN(tabula_ikm!G$1)+ROW(tabula_ikm!G1)+12,1,1,"tabula_ikm")):INDIRECT(ADDRESS(ROW(tabula_ikm!G$11),COLUMN(tabula_ikm!G$1)+ROW(tabula_ikm!G1)*(tabula_kum!$E$33)+12,1,1,"tabula_ikm")))</f>
        <v>1077.1617020000001</v>
      </c>
      <c r="C6" s="44">
        <f ca="1">SUM(INDIRECT(ADDRESS(ROW(tabula_ikm!G$11),COLUMN(tabula_ikm!G$1)+ROW(tabula_ikm!G1)+24,1,1,"tabula_ikm")):INDIRECT(ADDRESS(ROW(tabula_ikm!G$11),COLUMN(tabula_ikm!G$1)+ROW(tabula_ikm!G1)*(tabula_kum!$E$33)+24,1,1,"tabula_ikm")))</f>
        <v>1351.846955</v>
      </c>
      <c r="D6" s="76" cm="1">
        <f t="array" aca="1" ref="D6" ca="1">INDIRECT(ADDRESS(ROW(tabula_kum!D$30),COLUMN(tabula_kum!D$1)+ROW(tabula_kum!A1)+12,1,1,"tabula_kum"))</f>
        <v>3076.9729509999997</v>
      </c>
      <c r="E6" s="44" cm="1">
        <f t="array" aca="1" ref="E6" ca="1">INDIRECT(ADDRESS(ROW(tabula_kum!D$30),COLUMN(tabula_kum!D$1)+ROW(tabula_kum!A1)+24,1,1,"tabula_kum"))</f>
        <v>3786.2339999999999</v>
      </c>
      <c r="F6" s="61">
        <f t="shared" ref="F6:F9" ca="1" si="0">B6/D6</f>
        <v>0.35007187880866109</v>
      </c>
      <c r="G6" s="61">
        <f t="shared" ref="G6:G9" ca="1" si="1">C6/E6</f>
        <v>0.35704263260009816</v>
      </c>
      <c r="H6" s="61">
        <f t="shared" ref="H6:I9" ca="1" si="2">IFERROR(B6/D6,"")</f>
        <v>0.35007187880866109</v>
      </c>
      <c r="I6" s="61">
        <f t="shared" ca="1" si="2"/>
        <v>0.35704263260009816</v>
      </c>
      <c r="J6" s="83" cm="1">
        <f t="array" aca="1" ref="J6" ca="1">B6/INDIRECT(ADDRESS(ROW(tabula_kum!D$36),COLUMN(tabula_kum!D$36)+2,1,1,"tabula_kum"))</f>
        <v>2.7562474378359281E-2</v>
      </c>
      <c r="K6" s="88" cm="1">
        <f t="array" aca="1" ref="K6" ca="1">C6/INDIRECT(ADDRESS(ROW(tabula_kum!D$36),COLUMN(tabula_kum!D$36)+3,1,1,"tabula_kum"))</f>
        <v>3.0979242870031894E-2</v>
      </c>
      <c r="L6" s="81">
        <f t="shared" ref="L6:L9" ca="1" si="3">K6-J6</f>
        <v>3.4167684916726129E-3</v>
      </c>
    </row>
    <row r="7" spans="1:12">
      <c r="A7" s="60" t="s">
        <v>78</v>
      </c>
      <c r="B7" s="44">
        <f ca="1">SUM(INDIRECT(ADDRESS(ROW(tabula_ikm!G$5),COLUMN(tabula_ikm!G$1)+ROW(tabula_ikm!G1)+12,1,1,"tabula_ikm")):INDIRECT(ADDRESS(ROW(tabula_ikm!G$5),COLUMN(tabula_ikm!G$1)+ROW(tabula_ikm!G1)*(tabula_kum!$E$33)+12,1,1,"tabula_ikm")))</f>
        <v>645.11704499999996</v>
      </c>
      <c r="C7" s="44">
        <f ca="1">SUM(INDIRECT(ADDRESS(ROW(tabula_ikm!G$5),COLUMN(tabula_ikm!G$1)+ROW(tabula_ikm!G1)+24,1,1,"tabula_ikm")):INDIRECT(ADDRESS(ROW(tabula_ikm!G$5),COLUMN(tabula_ikm!G$1)+ROW(tabula_ikm!G1)*(tabula_kum!$E$33)+24,1,1,"tabula_ikm")))</f>
        <v>689.63680899999997</v>
      </c>
      <c r="D7" s="44" cm="1">
        <f t="array" aca="1" ref="D7" ca="1">INDIRECT(ADDRESS(ROW(tabula_kum!D$27),COLUMN(tabula_kum!D$1)+ROW(tabula_kum!A1)+12,1,1,"tabula_kum"))</f>
        <v>1861.97</v>
      </c>
      <c r="E7" s="44" cm="1">
        <f t="array" aca="1" ref="E7" ca="1">INDIRECT(ADDRESS(ROW(tabula_kum!D$27),COLUMN(tabula_kum!D$1)+ROW(tabula_kum!A1)+24,1,1,"tabula_kum"))</f>
        <v>2344</v>
      </c>
      <c r="F7" s="61">
        <f t="shared" ca="1" si="0"/>
        <v>0.34647016063631525</v>
      </c>
      <c r="G7" s="61">
        <f t="shared" ca="1" si="1"/>
        <v>0.29421365571672353</v>
      </c>
      <c r="H7" s="61">
        <f t="shared" ca="1" si="2"/>
        <v>0.34647016063631525</v>
      </c>
      <c r="I7" s="61">
        <f t="shared" ca="1" si="2"/>
        <v>0.29421365571672353</v>
      </c>
      <c r="J7" s="83" cm="1">
        <f t="array" aca="1" ref="J7" ca="1">B7/INDIRECT(ADDRESS(ROW(tabula_kum!D$36),COLUMN(tabula_kum!D$36)+2,1,1,"tabula_kum"))</f>
        <v>1.6507291329464061E-2</v>
      </c>
      <c r="K7" s="88" cm="1">
        <f t="array" aca="1" ref="K7" ca="1">C7/INDIRECT(ADDRESS(ROW(tabula_kum!D$36),COLUMN(tabula_kum!D$36)+3,1,1,"tabula_kum"))</f>
        <v>1.5803879366007668E-2</v>
      </c>
      <c r="L7" s="81">
        <f t="shared" ca="1" si="3"/>
        <v>-7.0341196345639206E-4</v>
      </c>
    </row>
    <row r="8" spans="1:12">
      <c r="A8" s="60" t="s">
        <v>79</v>
      </c>
      <c r="B8" s="44">
        <f ca="1">SUM(INDIRECT(ADDRESS(ROW(tabula_ikm!G$12),COLUMN(tabula_ikm!G$1)+ROW(tabula_ikm!G1)+12,1,1,"tabula_ikm")):INDIRECT(ADDRESS(ROW(tabula_ikm!G$12),COLUMN(tabula_ikm!G$1)+ROW(tabula_ikm!G1)*(tabula_kum!$E$33)+12,1,1,"tabula_ikm")))</f>
        <v>358.151207</v>
      </c>
      <c r="C8" s="44">
        <f ca="1">SUM(INDIRECT(ADDRESS(ROW(tabula_ikm!G$12),COLUMN(tabula_ikm!G$1)+ROW(tabula_ikm!G1)+24,1,1,"tabula_ikm")):INDIRECT(ADDRESS(ROW(tabula_ikm!G$12),COLUMN(tabula_ikm!G$1)+ROW(tabula_ikm!G1)*(tabula_kum!$E$33)+24,1,1,"tabula_ikm")))</f>
        <v>372.240452</v>
      </c>
      <c r="D8" s="44" cm="1">
        <f t="array" aca="1" ref="D8" ca="1">INDIRECT(ADDRESS(ROW(tabula_kum!D$31),COLUMN(tabula_kum!D$1)+ROW(tabula_kum!A1)+12,1,1,"tabula_kum"))</f>
        <v>1166.7999999999997</v>
      </c>
      <c r="E8" s="44" cm="1">
        <f t="array" aca="1" ref="E8" ca="1">INDIRECT(ADDRESS(ROW(tabula_kum!D$31),COLUMN(tabula_kum!D$1)+ROW(tabula_kum!A1)+24,1,1,"tabula_kum"))</f>
        <v>1187.7000000000003</v>
      </c>
      <c r="F8" s="61">
        <f t="shared" ca="1" si="0"/>
        <v>0.30695166866643819</v>
      </c>
      <c r="G8" s="61">
        <f t="shared" ca="1" si="1"/>
        <v>0.31341285846594252</v>
      </c>
      <c r="H8" s="61">
        <f t="shared" ca="1" si="2"/>
        <v>0.30695166866643819</v>
      </c>
      <c r="I8" s="61">
        <f t="shared" ca="1" si="2"/>
        <v>0.31341285846594252</v>
      </c>
      <c r="J8" s="83" cm="1">
        <f t="array" aca="1" ref="J8" ca="1">B8/INDIRECT(ADDRESS(ROW(tabula_kum!D$36),COLUMN(tabula_kum!D$36)+2,1,1,"tabula_kum"))</f>
        <v>9.1643932830021389E-3</v>
      </c>
      <c r="K8" s="88" cm="1">
        <f t="array" aca="1" ref="K8" ca="1">C8/INDIRECT(ADDRESS(ROW(tabula_kum!D$36),COLUMN(tabula_kum!D$36)+3,1,1,"tabula_kum"))</f>
        <v>8.5303497751033873E-3</v>
      </c>
      <c r="L8" s="81">
        <f t="shared" ca="1" si="3"/>
        <v>-6.3404350789875163E-4</v>
      </c>
    </row>
    <row r="9" spans="1:12">
      <c r="A9" s="48" t="s">
        <v>80</v>
      </c>
      <c r="B9" s="49">
        <f ca="1">SUM(INDIRECT(ADDRESS(ROW(tabula_ikm!G$6),COLUMN(tabula_ikm!G$1)+ROW(tabula_ikm!G1)+12,1,1,"tabula_ikm")):INDIRECT(ADDRESS(ROW(tabula_ikm!G$6),COLUMN(tabula_ikm!G$1)+ROW(tabula_ikm!G1)*(tabula_kum!$E$33)+12,1,1,"tabula_ikm")))</f>
        <v>118.77217</v>
      </c>
      <c r="C9" s="49">
        <f ca="1">SUM(INDIRECT(ADDRESS(ROW(tabula_ikm!G$6),COLUMN(tabula_ikm!G$1)+ROW(tabula_ikm!G1)+24,1,1,"tabula_ikm")):INDIRECT(ADDRESS(ROW(tabula_ikm!G$6),COLUMN(tabula_ikm!G$1)+ROW(tabula_ikm!G1)*(tabula_kum!$E$33)+24,1,1,"tabula_ikm")))</f>
        <v>159.99788799999999</v>
      </c>
      <c r="D9" s="49" cm="1">
        <f t="array" aca="1" ref="D9" ca="1">INDIRECT(ADDRESS(ROW(tabula_kum!D$28),COLUMN(tabula_kum!D$1)+ROW(tabula_kum!A1)+12,1,1,"tabula_kum"))</f>
        <v>316.39999999999998</v>
      </c>
      <c r="E9" s="49" cm="1">
        <f t="array" aca="1" ref="E9" ca="1">INDIRECT(ADDRESS(ROW(tabula_kum!D$28),COLUMN(tabula_kum!D$1)+ROW(tabula_kum!A1)+24,1,1,"tabula_kum"))</f>
        <v>402</v>
      </c>
      <c r="F9" s="62">
        <f t="shared" ca="1" si="0"/>
        <v>0.37538612515802783</v>
      </c>
      <c r="G9" s="62">
        <f t="shared" ca="1" si="1"/>
        <v>0.39800469651741288</v>
      </c>
      <c r="H9" s="62">
        <f t="shared" ca="1" si="2"/>
        <v>0.37538612515802783</v>
      </c>
      <c r="I9" s="62">
        <f t="shared" ca="1" si="2"/>
        <v>0.39800469651741288</v>
      </c>
      <c r="J9" s="84" cm="1">
        <f t="array" aca="1" ref="J9" ca="1">B9/INDIRECT(ADDRESS(ROW(tabula_kum!D$36),COLUMN(tabula_kum!D$36)+2,1,1,"tabula_kum"))</f>
        <v>3.0391489842322046E-3</v>
      </c>
      <c r="K9" s="54" cm="1">
        <f t="array" aca="1" ref="K9" ca="1">C9/INDIRECT(ADDRESS(ROW(tabula_kum!D$36),COLUMN(tabula_kum!D$36)+3,1,1,"tabula_kum"))</f>
        <v>3.6665492441370047E-3</v>
      </c>
      <c r="L9" s="82">
        <f t="shared" ca="1" si="3"/>
        <v>6.2740025990480012E-4</v>
      </c>
    </row>
    <row r="28" spans="1:17">
      <c r="C28" s="45"/>
    </row>
    <row r="29" spans="1:17">
      <c r="C29" s="45"/>
    </row>
    <row r="30" spans="1:17">
      <c r="A30" s="97" t="s">
        <v>123</v>
      </c>
      <c r="B30" s="98"/>
      <c r="C30" s="98"/>
      <c r="D30" s="98"/>
      <c r="E30" s="98"/>
      <c r="F30" s="98"/>
      <c r="G30" s="98"/>
      <c r="H30" s="98"/>
      <c r="I30" s="98"/>
      <c r="J30" s="98"/>
    </row>
    <row r="31" spans="1:17" ht="46.5" customHeight="1">
      <c r="A31" s="63"/>
      <c r="B31" s="63" t="s">
        <v>165</v>
      </c>
      <c r="C31" s="63" t="s">
        <v>166</v>
      </c>
      <c r="D31" s="63" t="s">
        <v>173</v>
      </c>
      <c r="E31" s="63" t="s">
        <v>170</v>
      </c>
      <c r="F31" s="63" t="s">
        <v>174</v>
      </c>
      <c r="G31" s="64" t="s">
        <v>164</v>
      </c>
      <c r="H31" s="64" t="s">
        <v>128</v>
      </c>
      <c r="I31" s="64" t="s">
        <v>163</v>
      </c>
      <c r="J31" s="63" t="s">
        <v>125</v>
      </c>
    </row>
    <row r="32" spans="1:17">
      <c r="A32" s="19" t="s">
        <v>76</v>
      </c>
      <c r="B32" s="80" cm="1">
        <f t="array" aca="1" ref="B32" ca="1">INDIRECT(ADDRESS(ROW(tabula_ikm!H$7),COLUMN(tabula_ikm!G$7)+ROW(tabula_kum!A$1)*tabula_ikm!H43 + 12,1,1,"tabula_ikm"))</f>
        <v>295.57084500000008</v>
      </c>
      <c r="C32" s="44" cm="1">
        <f t="array" aca="1" ref="C32" ca="1">INDIRECT(ADDRESS(ROW(tabula_ikm!H$7),COLUMN(tabula_ikm!G$7)+ROW(tabula_kum!A$1)*tabula_ikm!H43 +24,1,1,"tabula_ikm"))</f>
        <v>344.90570700000012</v>
      </c>
      <c r="D32" s="45" cm="1">
        <f t="array" aca="1" ref="D32" ca="1">INDIRECT(ADDRESS(ROW(tabula_ikm!S$37),COLUMN(tabula_ikm!S$37)+ROW(tabula_ikm!$G$1)*tabula_ikm!H43+12,1,1,"tabula_ikm"))</f>
        <v>330.13203999999996</v>
      </c>
      <c r="E32" s="46">
        <f ca="1">C32/D32-1</f>
        <v>4.4750782141594447E-2</v>
      </c>
      <c r="F32" s="45" cm="1">
        <f t="array" aca="1" ref="F32" ca="1">C32/(1+INDIRECT(ADDRESS(ROW(tabula_ikm!C$2) + ROW(A$1) * tabula_ikm!H$43 + 24,COLUMN(tabula_ikm!C$1),1,1,"tabula_ikm")))</f>
        <v>299.68454090921364</v>
      </c>
      <c r="G32" s="45" cm="1">
        <f t="array" aca="1" ref="G32" ca="1">D32/(1+INDIRECT(ADDRESS(ROW(tabula_ikm!C$2) + ROW(A$1) * tabula_ikm!H$43 + 24,COLUMN(tabula_ikm!C$1),1,1,"tabula_ikm")))</f>
        <v>286.84787418383343</v>
      </c>
      <c r="H32" s="51" cm="1">
        <f t="array" aca="1" ref="H32" ca="1">B32/INDIRECT(ADDRESS(ROW(tabula_ikm!E$2) + ROW(A$1) * tabula_ikm!H$43+12,COLUMN(tabula_ikm!E$2),1,1,"tabula_ikm"))</f>
        <v>7.5630834508656755E-3</v>
      </c>
      <c r="I32" s="51" cm="1">
        <f t="array" aca="1" ref="I32" ca="1">C32/INDIRECT(ADDRESS(ROW(tabula_ikm!E$2) + ROW(A$1) * tabula_ikm!H$43 + 24,COLUMN(tabula_ikm!E$2),1,1,"tabula_ikm"))</f>
        <v>7.9039403276335105E-3</v>
      </c>
      <c r="J32" s="47">
        <f ca="1">I32-H32</f>
        <v>3.4085687676783504E-4</v>
      </c>
      <c r="K32" s="45"/>
      <c r="L32" s="45"/>
      <c r="N32" s="44"/>
      <c r="Q32" s="44"/>
    </row>
    <row r="33" spans="1:17">
      <c r="A33" s="19" t="s">
        <v>77</v>
      </c>
      <c r="B33" s="80" cm="1">
        <f t="array" aca="1" ref="B33" ca="1">INDIRECT(ADDRESS(ROW(tabula_ikm!H$11),COLUMN(tabula_ikm!G$1)+ROW(tabula_kum!A$1)*tabula_ikm!H43 +12,1,1,"tabula_ikm"))</f>
        <v>317.51033500000005</v>
      </c>
      <c r="C33" s="44" cm="1">
        <f t="array" aca="1" ref="C33" ca="1">INDIRECT(ADDRESS(ROW(tabula_ikm!H$11),COLUMN(tabula_ikm!G$1)+ROW(tabula_kum!A$1)*tabula_ikm!H43 +24,1,1,"tabula_ikm"))</f>
        <v>338.49891400000001</v>
      </c>
      <c r="D33" s="45" cm="1">
        <f t="array" aca="1" ref="D33" ca="1">INDIRECT(ADDRESS(ROW(tabula_ikm!S$28),COLUMN(tabula_ikm!S$37)+ROW(tabula_ikm!$G$1)*tabula_ikm!H43+12,1,1,"tabula_ikm"))</f>
        <v>318.90299999999996</v>
      </c>
      <c r="E33" s="46">
        <v>0.06</v>
      </c>
      <c r="F33" s="45" cm="1">
        <f t="array" aca="1" ref="F33" ca="1">C33/(1+INDIRECT(ADDRESS(ROW(tabula_ikm!C$2) + ROW(A$1) * tabula_ikm!H$43 + 24,COLUMN(tabula_ikm!C$1),1,1,"tabula_ikm")))</f>
        <v>294.11775329179278</v>
      </c>
      <c r="G33" s="45" cm="1">
        <f t="array" aca="1" ref="G33" ca="1">D33/(1+INDIRECT(ADDRESS(ROW(tabula_ikm!C$2) + ROW(A$1) * tabula_ikm!H$43 + 24,COLUMN(tabula_ikm!C$1),1,1,"tabula_ikm")))</f>
        <v>277.09109246363067</v>
      </c>
      <c r="H33" s="51" cm="1">
        <f t="array" aca="1" ref="H33" ca="1">B33/INDIRECT(ADDRESS(ROW(tabula_ikm!E$2) + ROW(A$1) * tabula_ikm!H$43+12,COLUMN(tabula_ikm!E$2),1,1,"tabula_ikm"))</f>
        <v>8.1244723582845815E-3</v>
      </c>
      <c r="I33" s="51" cm="1">
        <f t="array" aca="1" ref="I33" ca="1">C33/INDIRECT(ADDRESS(ROW(tabula_ikm!E$2) + ROW(A$1) * tabula_ikm!H$43 + 24,COLUMN(tabula_ikm!E$2),1,1,"tabula_ikm"))</f>
        <v>7.7571207519182821E-3</v>
      </c>
      <c r="J33" s="47">
        <f t="shared" ref="J33:J36" ca="1" si="4">I33-H33</f>
        <v>-3.6735160636629932E-4</v>
      </c>
      <c r="K33" s="45"/>
      <c r="L33" s="45"/>
      <c r="N33" s="44"/>
      <c r="Q33" s="44"/>
    </row>
    <row r="34" spans="1:17">
      <c r="A34" s="19" t="s">
        <v>78</v>
      </c>
      <c r="B34" s="80" cm="1">
        <f t="array" aca="1" ref="B34" ca="1">INDIRECT(ADDRESS(ROW(tabula_ikm!H$5),COLUMN(tabula_ikm!G$1)+ROW(tabula_kum!A$1)*tabula_ikm!H43+12,1,1,"tabula_ikm"))</f>
        <v>165.30697299999997</v>
      </c>
      <c r="C34" s="44" cm="1">
        <f t="array" aca="1" ref="C34" ca="1">INDIRECT(ADDRESS(ROW(tabula_ikm!H$5),COLUMN(tabula_ikm!G$1)+ROW(tabula_kum!A$1)*tabula_ikm!H43+24,1,1,"tabula_ikm"))</f>
        <v>176.94750699999997</v>
      </c>
      <c r="D34" s="45" cm="1">
        <f t="array" aca="1" ref="D34" ca="1">INDIRECT(ADDRESS(ROW(tabula_ikm!S$32),COLUMN(tabula_ikm!S$37)+ROW(tabula_ikm!$G$1)*tabula_ikm!H43+12,1,1,"tabula_ikm"))</f>
        <v>170</v>
      </c>
      <c r="E34" s="46">
        <f t="shared" ref="E34:E36" ca="1" si="5">C34/D34-1</f>
        <v>4.0867688235293853E-2</v>
      </c>
      <c r="F34" s="45" cm="1">
        <f t="array" aca="1" ref="F34" ca="1">C34/(1+INDIRECT(ADDRESS(ROW(tabula_ikm!C$2) + ROW(A$1) * tabula_ikm!H$43 + 24,COLUMN(tabula_ikm!C$1),1,1,"tabula_ikm")))</f>
        <v>153.74762239096509</v>
      </c>
      <c r="G34" s="45" cm="1">
        <f t="array" aca="1" ref="G34" ca="1">D34/(1+INDIRECT(ADDRESS(ROW(tabula_ikm!C$2) + ROW(A$1) * tabula_ikm!H$43 + 24,COLUMN(tabula_ikm!C$1),1,1,"tabula_ikm")))</f>
        <v>147.71101469355014</v>
      </c>
      <c r="H34" s="51" cm="1">
        <f t="array" aca="1" ref="H34" ca="1">B34/INDIRECT(ADDRESS(ROW(tabula_ikm!E$2) + ROW(A$1) * tabula_ikm!H$43+12,COLUMN(tabula_ikm!E$2),1,1,"tabula_ikm"))</f>
        <v>4.2298841477717416E-3</v>
      </c>
      <c r="I34" s="51" cm="1">
        <f t="array" aca="1" ref="I34" ca="1">C34/INDIRECT(ADDRESS(ROW(tabula_ikm!E$2) + ROW(A$1) * tabula_ikm!H$43 + 24,COLUMN(tabula_ikm!E$2),1,1,"tabula_ikm"))</f>
        <v>4.0549707008806094E-3</v>
      </c>
      <c r="J34" s="47">
        <f t="shared" ca="1" si="4"/>
        <v>-1.7491344689113224E-4</v>
      </c>
      <c r="K34" s="45"/>
      <c r="L34" s="45"/>
      <c r="N34" s="44"/>
      <c r="Q34" s="44"/>
    </row>
    <row r="35" spans="1:17">
      <c r="A35" s="19" t="s">
        <v>79</v>
      </c>
      <c r="B35" s="80" cm="1">
        <f t="array" aca="1" ref="B35" ca="1">INDIRECT(ADDRESS(ROW(tabula_ikm!H$12),COLUMN(tabula_ikm!G$1)+ROW(tabula_kum!A$1)*tabula_ikm!H43+12,1,1,"tabula_ikm"))</f>
        <v>94.762113999999997</v>
      </c>
      <c r="C35" s="44" cm="1">
        <f t="array" aca="1" ref="C35" ca="1">INDIRECT(ADDRESS(ROW(tabula_ikm!H$12),COLUMN(tabula_ikm!G$1)+ROW(tabula_kum!A$1)*tabula_ikm!H43+24,1,1,"tabula_ikm"))</f>
        <v>93.143621999999993</v>
      </c>
      <c r="D35" s="45" cm="1">
        <f t="array" aca="1" ref="D35" ca="1">INDIRECT(ADDRESS(ROW(tabula_ikm!S$29),COLUMN(tabula_ikm!S$37)+ROW(tabula_ikm!$G$1)*tabula_ikm!H43+12,1,1,"tabula_ikm"))</f>
        <v>96.965000000000003</v>
      </c>
      <c r="E35" s="46">
        <f t="shared" ca="1" si="5"/>
        <v>-3.940986954055592E-2</v>
      </c>
      <c r="F35" s="45" cm="1">
        <f t="array" aca="1" ref="F35" ca="1">C35/(1+INDIRECT(ADDRESS(ROW(tabula_ikm!C$2) + ROW(A$1) * tabula_ikm!H$43 + 24,COLUMN(tabula_ikm!C$1),1,1,"tabula_ikm")))</f>
        <v>80.931405399132231</v>
      </c>
      <c r="G35" s="45" cm="1">
        <f t="array" aca="1" ref="G35" ca="1">D35/(1+INDIRECT(ADDRESS(ROW(tabula_ikm!C$2) + ROW(A$1) * tabula_ikm!H$43 + 24,COLUMN(tabula_ikm!C$1),1,1,"tabula_ikm")))</f>
        <v>84.251756116235825</v>
      </c>
      <c r="H35" s="51" cm="1">
        <f t="array" aca="1" ref="H35" ca="1">B35/INDIRECT(ADDRESS(ROW(tabula_ikm!E$2) + ROW(A$1) * tabula_ikm!H$43+12,COLUMN(tabula_ikm!E$2),1,1,"tabula_ikm"))</f>
        <v>2.4247783172337118E-3</v>
      </c>
      <c r="I35" s="51" cm="1">
        <f t="array" aca="1" ref="I35" ca="1">C35/INDIRECT(ADDRESS(ROW(tabula_ikm!E$2) + ROW(A$1) * tabula_ikm!H$43 + 24,COLUMN(tabula_ikm!E$2),1,1,"tabula_ikm"))</f>
        <v>2.1345011556670227E-3</v>
      </c>
      <c r="J35" s="47">
        <f t="shared" ca="1" si="4"/>
        <v>-2.9027716156668909E-4</v>
      </c>
      <c r="K35" s="45"/>
      <c r="L35" s="45"/>
      <c r="N35" s="44"/>
      <c r="Q35" s="44"/>
    </row>
    <row r="36" spans="1:17">
      <c r="A36" s="48" t="s">
        <v>80</v>
      </c>
      <c r="B36" s="85" cm="1">
        <f t="array" aca="1" ref="B36" ca="1">INDIRECT(ADDRESS(ROW(tabula_ikm!H$6),COLUMN(tabula_ikm!G$1)+ROW(tabula_kum!A$1)*tabula_ikm!H43+12,1,1,"tabula_ikm"))</f>
        <v>34.442598000000004</v>
      </c>
      <c r="C36" s="49" cm="1">
        <f t="array" aca="1" ref="C36" ca="1">INDIRECT(ADDRESS(ROW(tabula_ikm!H$6),COLUMN(tabula_ikm!G$1)+ROW(tabula_kum!A$1)*tabula_ikm!H43+24,1,1,"tabula_ikm"))</f>
        <v>47.875981999999993</v>
      </c>
      <c r="D36" s="52" cm="1">
        <f t="array" aca="1" ref="D36" ca="1">INDIRECT(ADDRESS(ROW(tabula_ikm!S$27),COLUMN(tabula_ikm!S$37)+ROW(tabula_ikm!$G$1)*tabula_ikm!H43+12,1,1,"tabula_ikm"))</f>
        <v>40</v>
      </c>
      <c r="E36" s="50">
        <f t="shared" ca="1" si="5"/>
        <v>0.19689954999999992</v>
      </c>
      <c r="F36" s="53" cm="1">
        <f t="array" aca="1" ref="F36" ca="1">C36/(1+INDIRECT(ADDRESS(ROW(tabula_ikm!C$2) + ROW(A$1) * tabula_ikm!H$43 + 24,COLUMN(tabula_ikm!C$1),1,1,"tabula_ikm")))</f>
        <v>41.598881651000831</v>
      </c>
      <c r="G36" s="53" cm="1">
        <f t="array" aca="1" ref="G36" ca="1">D36/(1+INDIRECT(ADDRESS(ROW(tabula_ikm!C$2) + ROW(A$1) * tabula_ikm!H$43 + 24,COLUMN(tabula_ikm!C$1),1,1,"tabula_ikm")))</f>
        <v>34.75553286907062</v>
      </c>
      <c r="H36" s="54" cm="1">
        <f t="array" aca="1" ref="H36" ca="1">B36/INDIRECT(ADDRESS(ROW(tabula_ikm!E$2) + ROW(A$1) * tabula_ikm!H$43+12,COLUMN(tabula_ikm!E$2),1,1,"tabula_ikm"))</f>
        <v>8.8131914004785947E-4</v>
      </c>
      <c r="I36" s="54" cm="1">
        <f t="array" aca="1" ref="I36" ca="1">C36/INDIRECT(ADDRESS(ROW(tabula_ikm!E$2) + ROW(A$1) * tabula_ikm!H$43 + 24,COLUMN(tabula_ikm!E$2),1,1,"tabula_ikm"))</f>
        <v>1.0971372673020336E-3</v>
      </c>
      <c r="J36" s="54">
        <f t="shared" ca="1" si="4"/>
        <v>2.158181272541741E-4</v>
      </c>
      <c r="K36" s="45"/>
      <c r="L36" s="45"/>
    </row>
    <row r="37" spans="1:17">
      <c r="H37" s="47"/>
    </row>
    <row r="57" spans="1:6">
      <c r="A57" s="95" t="s">
        <v>88</v>
      </c>
      <c r="B57" s="96"/>
      <c r="C57" s="96"/>
      <c r="D57" s="96"/>
      <c r="E57" s="96"/>
    </row>
    <row r="58" spans="1:6">
      <c r="A58" s="65" t="s">
        <v>75</v>
      </c>
      <c r="B58" s="93" t="s">
        <v>90</v>
      </c>
      <c r="C58" s="93"/>
      <c r="D58" s="93" t="s">
        <v>91</v>
      </c>
      <c r="E58" s="93"/>
    </row>
    <row r="59" spans="1:6">
      <c r="A59" s="65"/>
      <c r="B59" s="57" t="s">
        <v>6</v>
      </c>
      <c r="C59" s="57" t="s">
        <v>7</v>
      </c>
      <c r="D59" s="57" t="s">
        <v>6</v>
      </c>
      <c r="E59" s="57" t="s">
        <v>7</v>
      </c>
    </row>
    <row r="60" spans="1:6">
      <c r="A60" s="65"/>
      <c r="B60" s="57" t="s">
        <v>165</v>
      </c>
      <c r="C60" s="57" t="s">
        <v>166</v>
      </c>
      <c r="D60" s="57" t="s">
        <v>175</v>
      </c>
      <c r="E60" s="57" t="s">
        <v>176</v>
      </c>
    </row>
    <row r="61" spans="1:6">
      <c r="A61" s="19" t="s">
        <v>76</v>
      </c>
      <c r="B61" s="44" cm="1">
        <f t="array" aca="1" ref="B61" ca="1">INDIRECT(ADDRESS(ROW(tabula_ikm!G$7),COLUMN(tabula_ikm!G$1)+ROW(tabula_ikm!G1)*(tabula_kum!$E$33)+12,1,1,"tabula_ikm"))</f>
        <v>295.57084500000008</v>
      </c>
      <c r="C61" s="44" cm="1">
        <f t="array" aca="1" ref="C61" ca="1">INDIRECT(ADDRESS(ROW(tabula_ikm!G$7),COLUMN(tabula_ikm!G$1)+ROW(tabula_ikm!G1)*(tabula_kum!$E$33)+24,1,1,"tabula_ikm"))</f>
        <v>344.90570700000012</v>
      </c>
      <c r="D61" s="66">
        <f ca="1">B61/B$67</f>
        <v>0.30858216508637809</v>
      </c>
      <c r="E61" s="46">
        <f t="shared" ref="D61:E67" ca="1" si="6">C61/C$67</f>
        <v>0.324200023758421</v>
      </c>
      <c r="F61" s="67">
        <f ca="1">E61-D61</f>
        <v>1.5617858672042906E-2</v>
      </c>
    </row>
    <row r="62" spans="1:6">
      <c r="A62" s="19" t="s">
        <v>77</v>
      </c>
      <c r="B62" s="44" cm="1">
        <f t="array" aca="1" ref="B62" ca="1">INDIRECT(ADDRESS(ROW(tabula_ikm!G$11),COLUMN(tabula_ikm!G$1)+ROW(tabula_ikm!G1)*(tabula_kum!$E$33)+12,1,1,"tabula_ikm"))</f>
        <v>317.51033500000005</v>
      </c>
      <c r="C62" s="44" cm="1">
        <f t="array" aca="1" ref="C62" ca="1">INDIRECT(ADDRESS(ROW(tabula_ikm!G$11),COLUMN(tabula_ikm!G$1)+ROW(tabula_ikm!G1)*(tabula_kum!$E$33)+24,1,1,"tabula_ikm"))</f>
        <v>338.49891400000001</v>
      </c>
      <c r="D62" s="66">
        <f t="shared" ca="1" si="6"/>
        <v>0.33148745307271832</v>
      </c>
      <c r="E62" s="46">
        <f t="shared" ca="1" si="6"/>
        <v>0.31817784899975482</v>
      </c>
      <c r="F62" s="67">
        <f t="shared" ref="F62:F66" ca="1" si="7">E62-D62</f>
        <v>-1.3309604072963499E-2</v>
      </c>
    </row>
    <row r="63" spans="1:6">
      <c r="A63" s="19" t="s">
        <v>78</v>
      </c>
      <c r="B63" s="44" cm="1">
        <f t="array" aca="1" ref="B63" ca="1">INDIRECT(ADDRESS(ROW(tabula_ikm!G$5),COLUMN(tabula_ikm!G$1)+ROW(tabula_ikm!G1)*(tabula_kum!$E$33)+12,1,1,"tabula_ikm"))</f>
        <v>165.30697299999997</v>
      </c>
      <c r="C63" s="44" cm="1">
        <f t="array" aca="1" ref="C63" ca="1">INDIRECT(ADDRESS(ROW(tabula_ikm!G$5),COLUMN(tabula_ikm!G$1)+ROW(tabula_ikm!G1)*(tabula_kum!$E$33)+24,1,1,"tabula_ikm"))</f>
        <v>176.94750699999997</v>
      </c>
      <c r="D63" s="66">
        <f t="shared" ca="1" si="6"/>
        <v>0.17258394897580451</v>
      </c>
      <c r="E63" s="46">
        <f t="shared" ca="1" si="6"/>
        <v>0.16632483838080805</v>
      </c>
      <c r="F63" s="67">
        <f t="shared" ca="1" si="7"/>
        <v>-6.2591105949964532E-3</v>
      </c>
    </row>
    <row r="64" spans="1:6">
      <c r="A64" s="19" t="s">
        <v>79</v>
      </c>
      <c r="B64" s="44" cm="1">
        <f t="array" aca="1" ref="B64" ca="1">INDIRECT(ADDRESS(ROW(tabula_ikm!G$12),COLUMN(tabula_ikm!G$1)+ROW(tabula_ikm!G1)*(tabula_kum!$E$33)+12,1,1,"tabula_ikm"))</f>
        <v>94.762113999999997</v>
      </c>
      <c r="C64" s="44" cm="1">
        <f t="array" aca="1" ref="C64" ca="1">INDIRECT(ADDRESS(ROW(tabula_ikm!G$12),COLUMN(tabula_ikm!G$1)+ROW(tabula_ikm!G1)*(tabula_kum!$E$33)+24,1,1,"tabula_ikm"))</f>
        <v>93.143621999999993</v>
      </c>
      <c r="D64" s="66">
        <f t="shared" ca="1" si="6"/>
        <v>9.8933635711878729E-2</v>
      </c>
      <c r="E64" s="46">
        <f t="shared" ca="1" si="6"/>
        <v>8.7551942030768923E-2</v>
      </c>
      <c r="F64" s="67">
        <f t="shared" ca="1" si="7"/>
        <v>-1.1381693681109806E-2</v>
      </c>
    </row>
    <row r="65" spans="1:6">
      <c r="A65" s="19" t="s">
        <v>80</v>
      </c>
      <c r="B65" s="44" cm="1">
        <f t="array" aca="1" ref="B65" ca="1">INDIRECT(ADDRESS(ROW(tabula_ikm!G$6),COLUMN(tabula_ikm!G$1)+ROW(tabula_ikm!G1)*(tabula_kum!$E$33)+12,1,1,"tabula_ikm"))</f>
        <v>34.442598000000004</v>
      </c>
      <c r="C65" s="44" cm="1">
        <f t="array" aca="1" ref="C65" ca="1">INDIRECT(ADDRESS(ROW(tabula_ikm!G$6),COLUMN(tabula_ikm!G$1)+ROW(tabula_ikm!G1)*(tabula_kum!$E$33)+24,1,1,"tabula_ikm"))</f>
        <v>47.875981999999993</v>
      </c>
      <c r="D65" s="66">
        <f t="shared" ca="1" si="6"/>
        <v>3.5958795130960071E-2</v>
      </c>
      <c r="E65" s="46">
        <f t="shared" ca="1" si="6"/>
        <v>4.5001848873024677E-2</v>
      </c>
      <c r="F65" s="67">
        <f t="shared" ca="1" si="7"/>
        <v>9.0430537420646065E-3</v>
      </c>
    </row>
    <row r="66" spans="1:6">
      <c r="A66" s="19" t="s">
        <v>89</v>
      </c>
      <c r="B66" s="44">
        <f ca="1">B67-SUM(B61:B65)</f>
        <v>50.242287000000033</v>
      </c>
      <c r="C66" s="44">
        <f ca="1">C67-SUM(C61:C65)</f>
        <v>62.495269000000008</v>
      </c>
      <c r="D66" s="66">
        <f t="shared" ca="1" si="6"/>
        <v>5.2454002022260325E-2</v>
      </c>
      <c r="E66" s="46">
        <f t="shared" ca="1" si="6"/>
        <v>5.8743497957222571E-2</v>
      </c>
      <c r="F66" s="67">
        <f t="shared" ca="1" si="7"/>
        <v>6.2894959349622456E-3</v>
      </c>
    </row>
    <row r="67" spans="1:6">
      <c r="A67" s="68" t="s">
        <v>26</v>
      </c>
      <c r="B67" s="69" cm="1">
        <f t="array" aca="1" ref="B67" ca="1">INDIRECT(ADDRESS(ROW(tabula_ikm!G$4),COLUMN(tabula_ikm!G$1)+ROW(tabula_ikm!G1)*(tabula_kum!$E$33)+12,1,1,"tabula_ikm"))</f>
        <v>957.83515200000011</v>
      </c>
      <c r="C67" s="69" cm="1">
        <f t="array" aca="1" ref="C67" ca="1">INDIRECT(ADDRESS(ROW(tabula_ikm!G$4),COLUMN(tabula_ikm!G$1)+ROW(tabula_ikm!G1)*(tabula_kum!$E$33)+24,1,1,"tabula_ikm"))</f>
        <v>1063.8670010000001</v>
      </c>
      <c r="D67" s="70">
        <f t="shared" ca="1" si="6"/>
        <v>1</v>
      </c>
      <c r="E67" s="70">
        <f t="shared" ca="1" si="6"/>
        <v>1</v>
      </c>
      <c r="F67" s="67"/>
    </row>
  </sheetData>
  <mergeCells count="8">
    <mergeCell ref="A1:L1"/>
    <mergeCell ref="F2:G2"/>
    <mergeCell ref="H2:I2"/>
    <mergeCell ref="B58:C58"/>
    <mergeCell ref="D58:E58"/>
    <mergeCell ref="A57:E57"/>
    <mergeCell ref="A30:J30"/>
    <mergeCell ref="J2:K2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M280"/>
  <sheetViews>
    <sheetView showGridLines="0" tabSelected="1" zoomScaleNormal="100" workbookViewId="0">
      <selection sqref="A1:H1"/>
    </sheetView>
  </sheetViews>
  <sheetFormatPr defaultColWidth="0" defaultRowHeight="14.5" zeroHeight="1"/>
  <cols>
    <col min="1" max="1" width="10.81640625" style="37" customWidth="1"/>
    <col min="2" max="4" width="16.81640625" style="37" customWidth="1"/>
    <col min="5" max="6" width="16.81640625" style="37" hidden="1" customWidth="1"/>
    <col min="7" max="7" width="10.81640625" style="37" customWidth="1"/>
    <col min="8" max="8" width="10.453125" style="37" bestFit="1" customWidth="1"/>
    <col min="9" max="9" width="0.1796875" style="4" customWidth="1"/>
    <col min="10" max="10" width="11.453125" style="1" customWidth="1"/>
    <col min="11" max="11" width="10.54296875" style="1" hidden="1" customWidth="1"/>
    <col min="12" max="13" width="11.1796875" style="1" hidden="1" customWidth="1"/>
    <col min="14" max="15" width="9.1796875" style="1" hidden="1" customWidth="1"/>
    <col min="16" max="16384" width="9.1796875" style="1" hidden="1"/>
  </cols>
  <sheetData>
    <row r="1" spans="1:10">
      <c r="A1" s="102" t="s">
        <v>26</v>
      </c>
      <c r="B1" s="103"/>
      <c r="C1" s="103"/>
      <c r="D1" s="103"/>
      <c r="E1" s="103"/>
      <c r="F1" s="103"/>
      <c r="G1" s="103"/>
      <c r="H1" s="104"/>
    </row>
    <row r="2" spans="1:10">
      <c r="A2" s="26" t="s">
        <v>5</v>
      </c>
      <c r="B2" s="99" t="s">
        <v>177</v>
      </c>
      <c r="C2" s="101"/>
      <c r="D2" s="100"/>
      <c r="E2" s="99" t="s">
        <v>2</v>
      </c>
      <c r="F2" s="100"/>
      <c r="G2" s="99" t="s">
        <v>2</v>
      </c>
      <c r="H2" s="100"/>
      <c r="I2" s="6"/>
    </row>
    <row r="3" spans="1:10">
      <c r="A3" s="27">
        <v>1</v>
      </c>
      <c r="B3" s="28">
        <v>2</v>
      </c>
      <c r="C3" s="28">
        <v>3</v>
      </c>
      <c r="D3" s="28">
        <v>4</v>
      </c>
      <c r="E3" s="29" t="s">
        <v>71</v>
      </c>
      <c r="F3" s="29" t="s">
        <v>72</v>
      </c>
      <c r="G3" s="29" t="s">
        <v>71</v>
      </c>
      <c r="H3" s="29" t="s">
        <v>72</v>
      </c>
    </row>
    <row r="4" spans="1:10">
      <c r="A4" s="30"/>
      <c r="B4" s="28" t="s">
        <v>23</v>
      </c>
      <c r="C4" s="28" t="s">
        <v>6</v>
      </c>
      <c r="D4" s="28" t="s">
        <v>7</v>
      </c>
      <c r="E4" s="28" t="s">
        <v>6</v>
      </c>
      <c r="F4" s="28" t="s">
        <v>7</v>
      </c>
      <c r="G4" s="28" t="s">
        <v>6</v>
      </c>
      <c r="H4" s="28" t="s">
        <v>7</v>
      </c>
    </row>
    <row r="5" spans="1:10" ht="29">
      <c r="A5" s="31"/>
      <c r="B5" s="26">
        <v>2021</v>
      </c>
      <c r="C5" s="26">
        <v>2022</v>
      </c>
      <c r="D5" s="26">
        <v>2023</v>
      </c>
      <c r="E5" s="26" t="s">
        <v>74</v>
      </c>
      <c r="F5" s="26" t="s">
        <v>73</v>
      </c>
      <c r="G5" s="26" t="s">
        <v>162</v>
      </c>
      <c r="H5" s="26" t="s">
        <v>73</v>
      </c>
    </row>
    <row r="6" spans="1:10">
      <c r="A6" s="32" t="s">
        <v>8</v>
      </c>
      <c r="B6" s="33">
        <f ca="1">IF(INDIRECT(ADDRESS(ROW(tabula_ikm!G$4),COLUMN(tabula_ikm!G$1)+ROW(tabula_ikm!G1),1,1,"tabula_ikm"))="","",INDIRECT(ADDRESS(ROW(tabula_ikm!G$4),COLUMN(tabula_ikm!G$1)+ROW(tabula_ikm!G1),1,1,"tabula_ikm")))</f>
        <v>782.98600099999999</v>
      </c>
      <c r="C6" s="33">
        <f ca="1">IF(INDIRECT(ADDRESS(ROW(tabula_ikm!G$4),COLUMN(tabula_ikm!G$1)+ROW(tabula_ikm!G1)+12,1,1,"tabula_ikm"))="","",INDIRECT(ADDRESS(ROW(tabula_ikm!G$4),COLUMN(tabula_ikm!G$1)+ROW(tabula_ikm!G1)+12,1,1,"tabula_ikm")))</f>
        <v>941.79193599999996</v>
      </c>
      <c r="D6" s="33">
        <f ca="1">IF(INDIRECT(ADDRESS(ROW(tabula_ikm!G$4),COLUMN(tabula_ikm!G$1)+ROW(tabula_ikm!G1)+24,1,1,"tabula_ikm"))="","",INDIRECT(ADDRESS(ROW(tabula_ikm!G$4),COLUMN(tabula_ikm!G$1)+ROW(tabula_ikm!G1)+24,1,1,"tabula_ikm")))</f>
        <v>1077.162761</v>
      </c>
      <c r="E6" s="33">
        <f ca="1">IFERROR((C6/B6-1)*100,NA())</f>
        <v>20.282091224770184</v>
      </c>
      <c r="F6" s="33">
        <f ca="1">IFERROR((D6/C6-1)*100,NA())</f>
        <v>14.37375070070679</v>
      </c>
      <c r="G6" s="34">
        <f ca="1">IFERROR((C6/B6-1)*100,"")</f>
        <v>20.282091224770184</v>
      </c>
      <c r="H6" s="34">
        <f ca="1">IFERROR((D6/C6-1)*100,"")</f>
        <v>14.37375070070679</v>
      </c>
      <c r="J6" s="14"/>
    </row>
    <row r="7" spans="1:10">
      <c r="A7" s="32" t="s">
        <v>9</v>
      </c>
      <c r="B7" s="33">
        <f ca="1">IF(INDIRECT(ADDRESS(ROW(tabula_ikm!G$4),COLUMN(tabula_ikm!G$1)+ROW(tabula_ikm!G2),1,1,"tabula_ikm"))="","",INDIRECT(ADDRESS(ROW(tabula_ikm!G$4),COLUMN(tabula_ikm!G$1)+ROW(tabula_ikm!G2),1,1,"tabula_ikm")))</f>
        <v>734.85206500000004</v>
      </c>
      <c r="C7" s="33">
        <f ca="1">IF(INDIRECT(ADDRESS(ROW(tabula_ikm!G$4),COLUMN(tabula_ikm!G$1)+ROW(tabula_ikm!G2)+12,1,1,"tabula_ikm"))="","",INDIRECT(ADDRESS(ROW(tabula_ikm!G$4),COLUMN(tabula_ikm!G$1)+ROW(tabula_ikm!G2)+12,1,1,"tabula_ikm")))</f>
        <v>870.81498900000008</v>
      </c>
      <c r="D7" s="33">
        <f ca="1">IF(INDIRECT(ADDRESS(ROW(tabula_ikm!G$4),COLUMN(tabula_ikm!G$1)+ROW(tabula_ikm!G2)+24,1,1,"tabula_ikm"))="","",INDIRECT(ADDRESS(ROW(tabula_ikm!G$4),COLUMN(tabula_ikm!G$1)+ROW(tabula_ikm!G2)+24,1,1,"tabula_ikm")))</f>
        <v>983.50424399999974</v>
      </c>
      <c r="E7" s="33">
        <f t="shared" ref="E7:E17" ca="1" si="0">IFERROR((C7/B7-1)*100,NA())</f>
        <v>18.502080959655466</v>
      </c>
      <c r="F7" s="33">
        <f t="shared" ref="F7:F17" ca="1" si="1">IFERROR((D7/C7-1)*100,NA())</f>
        <v>12.940665517184801</v>
      </c>
      <c r="G7" s="34">
        <f t="shared" ref="G7:G18" ca="1" si="2">IFERROR((C7/B7-1)*100,"")</f>
        <v>18.502080959655466</v>
      </c>
      <c r="H7" s="34">
        <f t="shared" ref="H7:H18" ca="1" si="3">IFERROR((D7/C7-1)*100,"")</f>
        <v>12.940665517184801</v>
      </c>
      <c r="J7" s="79"/>
    </row>
    <row r="8" spans="1:10">
      <c r="A8" s="32" t="s">
        <v>10</v>
      </c>
      <c r="B8" s="33">
        <f ca="1">IF(INDIRECT(ADDRESS(ROW(tabula_ikm!G$4),COLUMN(tabula_ikm!G$1)+ROW(tabula_ikm!G3),1,1,"tabula_ikm"))="","",INDIRECT(ADDRESS(ROW(tabula_ikm!G$4),COLUMN(tabula_ikm!G$1)+ROW(tabula_ikm!G3),1,1,"tabula_ikm")))</f>
        <v>637.89151000000015</v>
      </c>
      <c r="C8" s="33">
        <f ca="1">IF(INDIRECT(ADDRESS(ROW(tabula_ikm!G$4),COLUMN(tabula_ikm!G$1)+ROW(tabula_ikm!G3)+12,1,1,"tabula_ikm"))="","",INDIRECT(ADDRESS(ROW(tabula_ikm!G$4),COLUMN(tabula_ikm!G$1)+ROW(tabula_ikm!G3)+12,1,1,"tabula_ikm")))</f>
        <v>769.05468500000006</v>
      </c>
      <c r="D8" s="33">
        <f ca="1">IF(INDIRECT(ADDRESS(ROW(tabula_ikm!G$4),COLUMN(tabula_ikm!G$1)+ROW(tabula_ikm!G3)+24,1,1,"tabula_ikm"))="","",INDIRECT(ADDRESS(ROW(tabula_ikm!G$4),COLUMN(tabula_ikm!G$1)+ROW(tabula_ikm!G3)+24,1,1,"tabula_ikm")))</f>
        <v>838.44619000000012</v>
      </c>
      <c r="E8" s="33">
        <f t="shared" ca="1" si="0"/>
        <v>20.561987884115251</v>
      </c>
      <c r="F8" s="33">
        <f t="shared" ca="1" si="1"/>
        <v>9.0229610915119949</v>
      </c>
      <c r="G8" s="34">
        <f t="shared" ca="1" si="2"/>
        <v>20.561987884115251</v>
      </c>
      <c r="H8" s="89">
        <f t="shared" ca="1" si="3"/>
        <v>9.0229610915119949</v>
      </c>
    </row>
    <row r="9" spans="1:10">
      <c r="A9" s="32" t="s">
        <v>11</v>
      </c>
      <c r="B9" s="33">
        <f ca="1">IF(INDIRECT(ADDRESS(ROW(tabula_ikm!G$4),COLUMN(tabula_ikm!G$1)+ROW(tabula_ikm!G4),1,1,"tabula_ikm"))="","",INDIRECT(ADDRESS(ROW(tabula_ikm!G$4),COLUMN(tabula_ikm!G$1)+ROW(tabula_ikm!G4),1,1,"tabula_ikm")))</f>
        <v>864.35033699999985</v>
      </c>
      <c r="C9" s="33">
        <f ca="1">IF(INDIRECT(ADDRESS(ROW(tabula_ikm!G$4),COLUMN(tabula_ikm!G$1)+ROW(tabula_ikm!G4)+12,1,1,"tabula_ikm"))="","",INDIRECT(ADDRESS(ROW(tabula_ikm!G$4),COLUMN(tabula_ikm!G$1)+ROW(tabula_ikm!G4)+12,1,1,"tabula_ikm")))</f>
        <v>957.83515200000011</v>
      </c>
      <c r="D9" s="33">
        <f ca="1">IF(INDIRECT(ADDRESS(ROW(tabula_ikm!G$4),COLUMN(tabula_ikm!G$1)+ROW(tabula_ikm!G4)+24,1,1,"tabula_ikm"))="","",INDIRECT(ADDRESS(ROW(tabula_ikm!G$4),COLUMN(tabula_ikm!G$1)+ROW(tabula_ikm!G4)+24,1,1,"tabula_ikm")))</f>
        <v>1063.8670010000001</v>
      </c>
      <c r="E9" s="33">
        <f t="shared" ca="1" si="0"/>
        <v>10.815616191516586</v>
      </c>
      <c r="F9" s="33">
        <f t="shared" ca="1" si="1"/>
        <v>11.069947556069648</v>
      </c>
      <c r="G9" s="34">
        <f t="shared" ca="1" si="2"/>
        <v>10.815616191516586</v>
      </c>
      <c r="H9" s="34">
        <f t="shared" ca="1" si="3"/>
        <v>11.069947556069648</v>
      </c>
      <c r="J9" s="105"/>
    </row>
    <row r="10" spans="1:10">
      <c r="A10" s="32" t="s">
        <v>12</v>
      </c>
      <c r="B10" s="33">
        <f ca="1">IF(INDIRECT(ADDRESS(ROW(tabula_ikm!G$4),COLUMN(tabula_ikm!G$1)+ROW(tabula_ikm!G5),1,1,"tabula_ikm"))="","",INDIRECT(ADDRESS(ROW(tabula_ikm!G$4),COLUMN(tabula_ikm!G$1)+ROW(tabula_ikm!G5),1,1,"tabula_ikm")))</f>
        <v>850.25307800000019</v>
      </c>
      <c r="C10" s="33">
        <f ca="1">IF(INDIRECT(ADDRESS(ROW(tabula_ikm!G$4),COLUMN(tabula_ikm!G$1)+ROW(tabula_ikm!G5)+12,1,1,"tabula_ikm"))="","",INDIRECT(ADDRESS(ROW(tabula_ikm!G$4),COLUMN(tabula_ikm!G$1)+ROW(tabula_ikm!G5)+12,1,1,"tabula_ikm")))</f>
        <v>978.6785589999995</v>
      </c>
      <c r="D10" s="33" t="str">
        <f ca="1">IF(INDIRECT(ADDRESS(ROW(tabula_ikm!G$4),COLUMN(tabula_ikm!G$1)+ROW(tabula_ikm!G5)+24,1,1,"tabula_ikm"))="","",INDIRECT(ADDRESS(ROW(tabula_ikm!G$4),COLUMN(tabula_ikm!G$1)+ROW(tabula_ikm!G5)+24,1,1,"tabula_ikm")))</f>
        <v/>
      </c>
      <c r="E10" s="33">
        <f t="shared" ca="1" si="0"/>
        <v>15.104382956435391</v>
      </c>
      <c r="F10" s="33" t="e">
        <f t="shared" ca="1" si="1"/>
        <v>#N/A</v>
      </c>
      <c r="G10" s="34">
        <f t="shared" ca="1" si="2"/>
        <v>15.104382956435391</v>
      </c>
      <c r="H10" s="34" t="str">
        <f t="shared" ca="1" si="3"/>
        <v/>
      </c>
    </row>
    <row r="11" spans="1:10">
      <c r="A11" s="32" t="s">
        <v>13</v>
      </c>
      <c r="B11" s="33">
        <f ca="1">IF(INDIRECT(ADDRESS(ROW(tabula_ikm!G$4),COLUMN(tabula_ikm!G$1)+ROW(tabula_ikm!G6),1,1,"tabula_ikm"))="","",INDIRECT(ADDRESS(ROW(tabula_ikm!G$4),COLUMN(tabula_ikm!G$1)+ROW(tabula_ikm!G6),1,1,"tabula_ikm")))</f>
        <v>768.73838799999976</v>
      </c>
      <c r="C11" s="33">
        <f ca="1">IF(INDIRECT(ADDRESS(ROW(tabula_ikm!G$4),COLUMN(tabula_ikm!G$1)+ROW(tabula_ikm!G6)+12,1,1,"tabula_ikm"))="","",INDIRECT(ADDRESS(ROW(tabula_ikm!G$4),COLUMN(tabula_ikm!G$1)+ROW(tabula_ikm!G6)+12,1,1,"tabula_ikm")))</f>
        <v>888.91623299999992</v>
      </c>
      <c r="D11" s="33" t="str">
        <f ca="1">IF(INDIRECT(ADDRESS(ROW(tabula_ikm!G$4),COLUMN(tabula_ikm!G$1)+ROW(tabula_ikm!G6)+24,1,1,"tabula_ikm"))="","",INDIRECT(ADDRESS(ROW(tabula_ikm!G$4),COLUMN(tabula_ikm!G$1)+ROW(tabula_ikm!G6)+24,1,1,"tabula_ikm")))</f>
        <v/>
      </c>
      <c r="E11" s="33">
        <f t="shared" ca="1" si="0"/>
        <v>15.633126545516053</v>
      </c>
      <c r="F11" s="33" t="e">
        <f t="shared" ca="1" si="1"/>
        <v>#N/A</v>
      </c>
      <c r="G11" s="34">
        <f t="shared" ca="1" si="2"/>
        <v>15.633126545516053</v>
      </c>
      <c r="H11" s="34" t="str">
        <f t="shared" ca="1" si="3"/>
        <v/>
      </c>
      <c r="J11" s="14"/>
    </row>
    <row r="12" spans="1:10">
      <c r="A12" s="32" t="s">
        <v>14</v>
      </c>
      <c r="B12" s="33">
        <f ca="1">IF(INDIRECT(ADDRESS(ROW(tabula_ikm!G$4),COLUMN(tabula_ikm!G$1)+ROW(tabula_ikm!G7),1,1,"tabula_ikm"))="","",INDIRECT(ADDRESS(ROW(tabula_ikm!G$4),COLUMN(tabula_ikm!G$1)+ROW(tabula_ikm!G7),1,1,"tabula_ikm")))</f>
        <v>922.26225599999998</v>
      </c>
      <c r="C12" s="33">
        <f ca="1">IF(INDIRECT(ADDRESS(ROW(tabula_ikm!G$4),COLUMN(tabula_ikm!G$1)+ROW(tabula_ikm!G7)+12,1,1,"tabula_ikm"))="","",INDIRECT(ADDRESS(ROW(tabula_ikm!G$4),COLUMN(tabula_ikm!G$1)+ROW(tabula_ikm!G7)+12,1,1,"tabula_ikm")))</f>
        <v>1027.4568880000006</v>
      </c>
      <c r="D12" s="33" t="str">
        <f ca="1">IF(INDIRECT(ADDRESS(ROW(tabula_ikm!G$4),COLUMN(tabula_ikm!G$1)+ROW(tabula_ikm!G7)+24,1,1,"tabula_ikm"))="","",INDIRECT(ADDRESS(ROW(tabula_ikm!G$4),COLUMN(tabula_ikm!G$1)+ROW(tabula_ikm!G7)+24,1,1,"tabula_ikm")))</f>
        <v/>
      </c>
      <c r="E12" s="33">
        <f t="shared" ca="1" si="0"/>
        <v>11.406151700953981</v>
      </c>
      <c r="F12" s="33" t="e">
        <f t="shared" ca="1" si="1"/>
        <v>#N/A</v>
      </c>
      <c r="G12" s="33">
        <f t="shared" ca="1" si="2"/>
        <v>11.406151700953981</v>
      </c>
      <c r="H12" s="33" t="str">
        <f t="shared" ca="1" si="3"/>
        <v/>
      </c>
      <c r="J12" s="14"/>
    </row>
    <row r="13" spans="1:10">
      <c r="A13" s="32" t="s">
        <v>15</v>
      </c>
      <c r="B13" s="33">
        <f ca="1">IF(INDIRECT(ADDRESS(ROW(tabula_ikm!G$4),COLUMN(tabula_ikm!G$1)+ROW(tabula_ikm!G8),1,1,"tabula_ikm"))="","",INDIRECT(ADDRESS(ROW(tabula_ikm!G$4),COLUMN(tabula_ikm!G$1)+ROW(tabula_ikm!G8),1,1,"tabula_ikm")))</f>
        <v>901.67418400000042</v>
      </c>
      <c r="C13" s="33">
        <f ca="1">IF(INDIRECT(ADDRESS(ROW(tabula_ikm!G$4),COLUMN(tabula_ikm!G$1)+ROW(tabula_ikm!G8)+12,1,1,"tabula_ikm"))="","",INDIRECT(ADDRESS(ROW(tabula_ikm!G$4),COLUMN(tabula_ikm!G$1)+ROW(tabula_ikm!G8)+12,1,1,"tabula_ikm")))</f>
        <v>969.99408099999982</v>
      </c>
      <c r="D13" s="33" t="str">
        <f ca="1">IF(INDIRECT(ADDRESS(ROW(tabula_ikm!G$4),COLUMN(tabula_ikm!G$1)+ROW(tabula_ikm!G8)+24,1,1,"tabula_ikm"))="","",INDIRECT(ADDRESS(ROW(tabula_ikm!G$4),COLUMN(tabula_ikm!G$1)+ROW(tabula_ikm!G8)+24,1,1,"tabula_ikm")))</f>
        <v/>
      </c>
      <c r="E13" s="33">
        <f t="shared" ca="1" si="0"/>
        <v>7.5770048884974406</v>
      </c>
      <c r="F13" s="33" t="e">
        <f t="shared" ca="1" si="1"/>
        <v>#N/A</v>
      </c>
      <c r="G13" s="33">
        <f t="shared" ca="1" si="2"/>
        <v>7.5770048884974406</v>
      </c>
      <c r="H13" s="33" t="str">
        <f t="shared" ca="1" si="3"/>
        <v/>
      </c>
    </row>
    <row r="14" spans="1:10">
      <c r="A14" s="32" t="s">
        <v>16</v>
      </c>
      <c r="B14" s="33">
        <f ca="1">IF(INDIRECT(ADDRESS(ROW(tabula_ikm!G$4),COLUMN(tabula_ikm!G$1)+ROW(tabula_ikm!G9),1,1,"tabula_ikm"))="","",INDIRECT(ADDRESS(ROW(tabula_ikm!G$4),COLUMN(tabula_ikm!G$1)+ROW(tabula_ikm!G9),1,1,"tabula_ikm")))</f>
        <v>852.72558599999957</v>
      </c>
      <c r="C14" s="33">
        <f ca="1">IF(INDIRECT(ADDRESS(ROW(tabula_ikm!G$4),COLUMN(tabula_ikm!G$1)+ROW(tabula_ikm!G9)+12,1,1,"tabula_ikm"))="","",INDIRECT(ADDRESS(ROW(tabula_ikm!G$4),COLUMN(tabula_ikm!G$1)+ROW(tabula_ikm!G9)+12,1,1,"tabula_ikm")))</f>
        <v>985.43590399999994</v>
      </c>
      <c r="D14" s="33" t="str">
        <f ca="1">IF(INDIRECT(ADDRESS(ROW(tabula_ikm!G$4),COLUMN(tabula_ikm!G$1)+ROW(tabula_ikm!G9)+24,1,1,"tabula_ikm"))="","",INDIRECT(ADDRESS(ROW(tabula_ikm!G$4),COLUMN(tabula_ikm!G$1)+ROW(tabula_ikm!G9)+24,1,1,"tabula_ikm")))</f>
        <v/>
      </c>
      <c r="E14" s="33">
        <f t="shared" ca="1" si="0"/>
        <v>15.563074473058025</v>
      </c>
      <c r="F14" s="33" t="e">
        <f t="shared" ca="1" si="1"/>
        <v>#N/A</v>
      </c>
      <c r="G14" s="33">
        <f t="shared" ca="1" si="2"/>
        <v>15.563074473058025</v>
      </c>
      <c r="H14" s="33" t="str">
        <f t="shared" ca="1" si="3"/>
        <v/>
      </c>
    </row>
    <row r="15" spans="1:10">
      <c r="A15" s="32" t="s">
        <v>17</v>
      </c>
      <c r="B15" s="33">
        <f ca="1">IF(INDIRECT(ADDRESS(ROW(tabula_ikm!G$4),COLUMN(tabula_ikm!G$1)+ROW(tabula_ikm!G10),1,1,"tabula_ikm"))="","",INDIRECT(ADDRESS(ROW(tabula_ikm!G$4),COLUMN(tabula_ikm!G$1)+ROW(tabula_ikm!G10),1,1,"tabula_ikm")))</f>
        <v>895.87360600000011</v>
      </c>
      <c r="C15" s="33">
        <f ca="1">IF(INDIRECT(ADDRESS(ROW(tabula_ikm!G$4),COLUMN(tabula_ikm!G$1)+ROW(tabula_ikm!G10)+12,1,1,"tabula_ikm"))="","",INDIRECT(ADDRESS(ROW(tabula_ikm!G$4),COLUMN(tabula_ikm!G$1)+ROW(tabula_ikm!G10)+12,1,1,"tabula_ikm")))</f>
        <v>1021.6625139999996</v>
      </c>
      <c r="D15" s="33" t="str">
        <f ca="1">IF(INDIRECT(ADDRESS(ROW(tabula_ikm!G$4),COLUMN(tabula_ikm!G$1)+ROW(tabula_ikm!G10)+24,1,1,"tabula_ikm"))="","",INDIRECT(ADDRESS(ROW(tabula_ikm!G$4),COLUMN(tabula_ikm!G$1)+ROW(tabula_ikm!G10)+24,1,1,"tabula_ikm")))</f>
        <v/>
      </c>
      <c r="E15" s="33">
        <f t="shared" ca="1" si="0"/>
        <v>14.040921303802701</v>
      </c>
      <c r="F15" s="33" t="e">
        <f t="shared" ca="1" si="1"/>
        <v>#N/A</v>
      </c>
      <c r="G15" s="33">
        <f t="shared" ca="1" si="2"/>
        <v>14.040921303802701</v>
      </c>
      <c r="H15" s="33" t="str">
        <f t="shared" ca="1" si="3"/>
        <v/>
      </c>
    </row>
    <row r="16" spans="1:10">
      <c r="A16" s="32" t="s">
        <v>18</v>
      </c>
      <c r="B16" s="33">
        <f ca="1">IF(INDIRECT(ADDRESS(ROW(tabula_ikm!G$4),COLUMN(tabula_ikm!G$1)+ROW(tabula_ikm!G11),1,1,"tabula_ikm"))="","",INDIRECT(ADDRESS(ROW(tabula_ikm!G$4),COLUMN(tabula_ikm!G$1)+ROW(tabula_ikm!G11),1,1,"tabula_ikm")))</f>
        <v>856.46109799999977</v>
      </c>
      <c r="C16" s="33">
        <f ca="1">IF(INDIRECT(ADDRESS(ROW(tabula_ikm!G$4),COLUMN(tabula_ikm!G$1)+ROW(tabula_ikm!G11)+12,1,1,"tabula_ikm"))="","",INDIRECT(ADDRESS(ROW(tabula_ikm!G$4),COLUMN(tabula_ikm!G$1)+ROW(tabula_ikm!G11)+12,1,1,"tabula_ikm")))</f>
        <v>1038.2276739999998</v>
      </c>
      <c r="D16" s="33" t="str">
        <f ca="1">IF(INDIRECT(ADDRESS(ROW(tabula_ikm!G$4),COLUMN(tabula_ikm!G$1)+ROW(tabula_ikm!G11)+24,1,1,"tabula_ikm"))="","",INDIRECT(ADDRESS(ROW(tabula_ikm!G$4),COLUMN(tabula_ikm!G$1)+ROW(tabula_ikm!G11)+24,1,1,"tabula_ikm")))</f>
        <v/>
      </c>
      <c r="E16" s="33">
        <f t="shared" ca="1" si="0"/>
        <v>21.222980988215312</v>
      </c>
      <c r="F16" s="33" t="e">
        <f t="shared" ca="1" si="1"/>
        <v>#N/A</v>
      </c>
      <c r="G16" s="34">
        <f t="shared" ca="1" si="2"/>
        <v>21.222980988215312</v>
      </c>
      <c r="H16" s="34" t="str">
        <f t="shared" ca="1" si="3"/>
        <v/>
      </c>
    </row>
    <row r="17" spans="1:10">
      <c r="A17" s="32" t="s">
        <v>19</v>
      </c>
      <c r="B17" s="33">
        <f ca="1">IF(INDIRECT(ADDRESS(ROW(tabula_ikm!G$4),COLUMN(tabula_ikm!G$1)+ROW(tabula_ikm!G12),1,1,"tabula_ikm"))="","",INDIRECT(ADDRESS(ROW(tabula_ikm!G$4),COLUMN(tabula_ikm!G$1)+ROW(tabula_ikm!G12),1,1,"tabula_ikm")))</f>
        <v>962.93603400000029</v>
      </c>
      <c r="C17" s="33">
        <f ca="1">IF(INDIRECT(ADDRESS(ROW(tabula_ikm!G$4),COLUMN(tabula_ikm!G$1)+ROW(tabula_ikm!G12)+12,1,1,"tabula_ikm"))="","",INDIRECT(ADDRESS(ROW(tabula_ikm!G$4),COLUMN(tabula_ikm!G$1)+ROW(tabula_ikm!G12)+12,1,1,"tabula_ikm")))</f>
        <v>1107.4090790000009</v>
      </c>
      <c r="D17" s="33" t="str">
        <f ca="1">IF(INDIRECT(ADDRESS(ROW(tabula_ikm!G$4),COLUMN(tabula_ikm!G$1)+ROW(tabula_ikm!G12)+24,1,1,"tabula_ikm"))="","",INDIRECT(ADDRESS(ROW(tabula_ikm!G$4),COLUMN(tabula_ikm!G$1)+ROW(tabula_ikm!G12)+24,1,1,"tabula_ikm")))</f>
        <v/>
      </c>
      <c r="E17" s="33">
        <f t="shared" ca="1" si="0"/>
        <v>15.003389622866736</v>
      </c>
      <c r="F17" s="33" t="e">
        <f t="shared" ca="1" si="1"/>
        <v>#N/A</v>
      </c>
      <c r="G17" s="34">
        <f t="shared" ca="1" si="2"/>
        <v>15.003389622866736</v>
      </c>
      <c r="H17" s="34" t="str">
        <f t="shared" ca="1" si="3"/>
        <v/>
      </c>
      <c r="J17" s="20"/>
    </row>
    <row r="18" spans="1:10">
      <c r="A18" s="35" t="s">
        <v>21</v>
      </c>
      <c r="B18" s="36">
        <f t="shared" ref="B18:C18" ca="1" si="4">SUM(B6:B17)</f>
        <v>10031.004143</v>
      </c>
      <c r="C18" s="36">
        <f t="shared" ca="1" si="4"/>
        <v>11557.277694</v>
      </c>
      <c r="D18" s="36">
        <f ca="1">SUM(D6:D17)</f>
        <v>3962.980196</v>
      </c>
      <c r="E18" s="36">
        <f ca="1">IFERROR((C18/B18-1)*100,"")</f>
        <v>15.215560967194786</v>
      </c>
      <c r="F18" s="36">
        <f ca="1">IFERROR((D18/C18-1)*100,"")</f>
        <v>-65.710089340006135</v>
      </c>
      <c r="G18" s="36">
        <f t="shared" ca="1" si="2"/>
        <v>15.215560967194786</v>
      </c>
      <c r="H18" s="36">
        <f t="shared" ca="1" si="3"/>
        <v>-65.710089340006135</v>
      </c>
      <c r="I18" s="5">
        <f ca="1">IFERROR(G18/D18*100,"")</f>
        <v>0.38394239220656418</v>
      </c>
      <c r="J18" s="14"/>
    </row>
    <row r="19" spans="1:10"/>
    <row r="20" spans="1:10"/>
    <row r="21" spans="1:10"/>
    <row r="22" spans="1:10"/>
    <row r="23" spans="1:10"/>
    <row r="24" spans="1:10"/>
    <row r="25" spans="1:10"/>
    <row r="26" spans="1:10"/>
    <row r="27" spans="1:10"/>
    <row r="28" spans="1:10"/>
    <row r="29" spans="1:10"/>
    <row r="30" spans="1:10"/>
    <row r="31" spans="1:10"/>
    <row r="32" spans="1:10"/>
    <row r="33" spans="1:10"/>
    <row r="34" spans="1:10"/>
    <row r="35" spans="1:10"/>
    <row r="36" spans="1:10">
      <c r="A36" s="102" t="s">
        <v>3</v>
      </c>
      <c r="B36" s="103"/>
      <c r="C36" s="103"/>
      <c r="D36" s="103"/>
      <c r="E36" s="103"/>
      <c r="F36" s="103"/>
      <c r="G36" s="103"/>
      <c r="H36" s="104"/>
    </row>
    <row r="37" spans="1:10" s="3" customFormat="1" ht="15" customHeight="1">
      <c r="A37" s="26" t="s">
        <v>5</v>
      </c>
      <c r="B37" s="99" t="s">
        <v>177</v>
      </c>
      <c r="C37" s="101"/>
      <c r="D37" s="100"/>
      <c r="E37" s="99" t="s">
        <v>2</v>
      </c>
      <c r="F37" s="100"/>
      <c r="G37" s="99" t="s">
        <v>2</v>
      </c>
      <c r="H37" s="100"/>
      <c r="I37" s="6"/>
    </row>
    <row r="38" spans="1:10">
      <c r="A38" s="27">
        <v>1</v>
      </c>
      <c r="B38" s="28">
        <v>2</v>
      </c>
      <c r="C38" s="28">
        <v>3</v>
      </c>
      <c r="D38" s="28">
        <v>4</v>
      </c>
      <c r="E38" s="29" t="s">
        <v>71</v>
      </c>
      <c r="F38" s="29" t="s">
        <v>72</v>
      </c>
      <c r="G38" s="29" t="s">
        <v>71</v>
      </c>
      <c r="H38" s="29" t="s">
        <v>72</v>
      </c>
    </row>
    <row r="39" spans="1:10">
      <c r="A39" s="30"/>
      <c r="B39" s="28" t="s">
        <v>23</v>
      </c>
      <c r="C39" s="28" t="s">
        <v>6</v>
      </c>
      <c r="D39" s="28" t="s">
        <v>7</v>
      </c>
      <c r="E39" s="28" t="s">
        <v>6</v>
      </c>
      <c r="F39" s="28" t="s">
        <v>7</v>
      </c>
      <c r="G39" s="28" t="s">
        <v>6</v>
      </c>
      <c r="H39" s="28" t="s">
        <v>7</v>
      </c>
    </row>
    <row r="40" spans="1:10" ht="29">
      <c r="A40" s="31"/>
      <c r="B40" s="26">
        <v>2021</v>
      </c>
      <c r="C40" s="26">
        <v>2022</v>
      </c>
      <c r="D40" s="26">
        <v>2023</v>
      </c>
      <c r="E40" s="26" t="s">
        <v>74</v>
      </c>
      <c r="F40" s="26" t="s">
        <v>73</v>
      </c>
      <c r="G40" s="26" t="s">
        <v>162</v>
      </c>
      <c r="H40" s="26" t="s">
        <v>73</v>
      </c>
    </row>
    <row r="41" spans="1:10">
      <c r="A41" s="32" t="s">
        <v>8</v>
      </c>
      <c r="B41" s="33">
        <f ca="1">IF(INDIRECT(ADDRESS(ROW(tabula_ikm!G$6),COLUMN(tabula_ikm!G$1)+ROW(tabula_ikm!G1),1,1,"tabula_ikm"))="","",INDIRECT(ADDRESS(ROW(tabula_ikm!G$6),COLUMN(tabula_ikm!G$1)+ROW(tabula_ikm!G1),1,1,"tabula_ikm")))</f>
        <v>21.150621999999998</v>
      </c>
      <c r="C41" s="33">
        <f ca="1">IF(INDIRECT(ADDRESS(ROW(tabula_ikm!G$6),COLUMN(tabula_ikm!G$1)+ROW(tabula_ikm!G1)+12,1,1,"tabula_ikm"))="","",INDIRECT(ADDRESS(ROW(tabula_ikm!G$6),COLUMN(tabula_ikm!G$1)+ROW(tabula_ikm!G1)+12,1,1,"tabula_ikm")))</f>
        <v>36.645933999999997</v>
      </c>
      <c r="D41" s="33">
        <f ca="1">IF(INDIRECT(ADDRESS(ROW(tabula_ikm!G$6),COLUMN(tabula_ikm!G$1)+ROW(tabula_ikm!G1)+24,1,1,"tabula_ikm"))="","",INDIRECT(ADDRESS(ROW(tabula_ikm!G$6),COLUMN(tabula_ikm!G$1)+ROW(tabula_ikm!G1)+24,1,1,"tabula_ikm")))</f>
        <v>61.791103</v>
      </c>
      <c r="E41" s="33">
        <f ca="1">IFERROR((C41/B41-1)*100,NA())</f>
        <v>73.261731971759517</v>
      </c>
      <c r="F41" s="33">
        <f ca="1">IFERROR((D41/C41-1)*100,NA())</f>
        <v>68.61653191865706</v>
      </c>
      <c r="G41" s="34">
        <f ca="1">IFERROR((C41/B41-1)*100,"")</f>
        <v>73.261731971759517</v>
      </c>
      <c r="H41" s="34">
        <f ca="1">IFERROR((D41/C41-1)*100,"")</f>
        <v>68.61653191865706</v>
      </c>
    </row>
    <row r="42" spans="1:10">
      <c r="A42" s="32" t="s">
        <v>9</v>
      </c>
      <c r="B42" s="33">
        <f ca="1">IF(INDIRECT(ADDRESS(ROW(tabula_ikm!G$6),COLUMN(tabula_ikm!G$1)+ROW(tabula_ikm!G2),1,1,"tabula_ikm"))="","",INDIRECT(ADDRESS(ROW(tabula_ikm!G$6),COLUMN(tabula_ikm!G$1)+ROW(tabula_ikm!G2),1,1,"tabula_ikm")))</f>
        <v>8.1905990000000024</v>
      </c>
      <c r="C42" s="33">
        <f ca="1">IF(INDIRECT(ADDRESS(ROW(tabula_ikm!G$6),COLUMN(tabula_ikm!G$1)+ROW(tabula_ikm!G2)+12,1,1,"tabula_ikm"))="","",INDIRECT(ADDRESS(ROW(tabula_ikm!G$6),COLUMN(tabula_ikm!G$1)+ROW(tabula_ikm!G2)+12,1,1,"tabula_ikm")))</f>
        <v>28.807556000000005</v>
      </c>
      <c r="D42" s="33">
        <f ca="1">IF(INDIRECT(ADDRESS(ROW(tabula_ikm!G$6),COLUMN(tabula_ikm!G$1)+ROW(tabula_ikm!G2)+24,1,1,"tabula_ikm"))="","",INDIRECT(ADDRESS(ROW(tabula_ikm!G$6),COLUMN(tabula_ikm!G$1)+ROW(tabula_ikm!G2)+24,1,1,"tabula_ikm")))</f>
        <v>19.323077000000005</v>
      </c>
      <c r="E42" s="33">
        <f t="shared" ref="E42:E52" ca="1" si="5">IFERROR((C42/B42-1)*100,NA())</f>
        <v>251.71488678666844</v>
      </c>
      <c r="F42" s="33">
        <f t="shared" ref="F42:F52" ca="1" si="6">IFERROR((D42/C42-1)*100,NA())</f>
        <v>-32.923580882737845</v>
      </c>
      <c r="G42" s="34">
        <f t="shared" ref="G42:G53" ca="1" si="7">IFERROR((C42/B42-1)*100,"")</f>
        <v>251.71488678666844</v>
      </c>
      <c r="H42" s="34">
        <f t="shared" ref="H42:H52" ca="1" si="8">IFERROR((D42/C42-1)*100,"")</f>
        <v>-32.923580882737845</v>
      </c>
    </row>
    <row r="43" spans="1:10">
      <c r="A43" s="32" t="s">
        <v>10</v>
      </c>
      <c r="B43" s="33">
        <f ca="1">IF(INDIRECT(ADDRESS(ROW(tabula_ikm!G$6),COLUMN(tabula_ikm!G$1)+ROW(tabula_ikm!G3),1,1,"tabula_ikm"))="","",INDIRECT(ADDRESS(ROW(tabula_ikm!G$6),COLUMN(tabula_ikm!G$1)+ROW(tabula_ikm!G3),1,1,"tabula_ikm")))</f>
        <v>15.553265999999997</v>
      </c>
      <c r="C43" s="33">
        <f ca="1">IF(INDIRECT(ADDRESS(ROW(tabula_ikm!G$6),COLUMN(tabula_ikm!G$1)+ROW(tabula_ikm!G3)+12,1,1,"tabula_ikm"))="","",INDIRECT(ADDRESS(ROW(tabula_ikm!G$6),COLUMN(tabula_ikm!G$1)+ROW(tabula_ikm!G3)+12,1,1,"tabula_ikm")))</f>
        <v>18.876081999999997</v>
      </c>
      <c r="D43" s="33">
        <f ca="1">IF(INDIRECT(ADDRESS(ROW(tabula_ikm!G$6),COLUMN(tabula_ikm!G$1)+ROW(tabula_ikm!G3)+24,1,1,"tabula_ikm"))="","",INDIRECT(ADDRESS(ROW(tabula_ikm!G$6),COLUMN(tabula_ikm!G$1)+ROW(tabula_ikm!G3)+24,1,1,"tabula_ikm")))</f>
        <v>31.007725999999991</v>
      </c>
      <c r="E43" s="33">
        <f t="shared" ca="1" si="5"/>
        <v>21.364104490979585</v>
      </c>
      <c r="F43" s="33">
        <f t="shared" ca="1" si="6"/>
        <v>64.269926354420349</v>
      </c>
      <c r="G43" s="34">
        <f t="shared" ca="1" si="7"/>
        <v>21.364104490979585</v>
      </c>
      <c r="H43" s="89">
        <f t="shared" ca="1" si="8"/>
        <v>64.269926354420349</v>
      </c>
    </row>
    <row r="44" spans="1:10">
      <c r="A44" s="32" t="s">
        <v>11</v>
      </c>
      <c r="B44" s="33">
        <f ca="1">IF(INDIRECT(ADDRESS(ROW(tabula_ikm!G$6),COLUMN(tabula_ikm!G$1)+ROW(tabula_ikm!G4),1,1,"tabula_ikm"))="","",INDIRECT(ADDRESS(ROW(tabula_ikm!G$6),COLUMN(tabula_ikm!G$1)+ROW(tabula_ikm!G4),1,1,"tabula_ikm")))</f>
        <v>47.546597000000006</v>
      </c>
      <c r="C44" s="33">
        <f ca="1">IF(INDIRECT(ADDRESS(ROW(tabula_ikm!G$6),COLUMN(tabula_ikm!G$1)+ROW(tabula_ikm!G4)+12,1,1,"tabula_ikm"))="","",INDIRECT(ADDRESS(ROW(tabula_ikm!G$6),COLUMN(tabula_ikm!G$1)+ROW(tabula_ikm!G4)+12,1,1,"tabula_ikm")))</f>
        <v>34.442598000000004</v>
      </c>
      <c r="D44" s="33">
        <f ca="1">IF(INDIRECT(ADDRESS(ROW(tabula_ikm!G$6),COLUMN(tabula_ikm!G$1)+ROW(tabula_ikm!G4)+24,1,1,"tabula_ikm"))="","",INDIRECT(ADDRESS(ROW(tabula_ikm!G$6),COLUMN(tabula_ikm!G$1)+ROW(tabula_ikm!G4)+24,1,1,"tabula_ikm")))</f>
        <v>47.875981999999993</v>
      </c>
      <c r="E44" s="33">
        <f t="shared" ca="1" si="5"/>
        <v>-27.560329922244485</v>
      </c>
      <c r="F44" s="33">
        <f t="shared" ca="1" si="6"/>
        <v>39.002237868351244</v>
      </c>
      <c r="G44" s="34">
        <f t="shared" ca="1" si="7"/>
        <v>-27.560329922244485</v>
      </c>
      <c r="H44" s="34">
        <f t="shared" ca="1" si="8"/>
        <v>39.002237868351244</v>
      </c>
      <c r="J44" s="105"/>
    </row>
    <row r="45" spans="1:10">
      <c r="A45" s="32" t="s">
        <v>12</v>
      </c>
      <c r="B45" s="33">
        <f ca="1">IF(INDIRECT(ADDRESS(ROW(tabula_ikm!G$6),COLUMN(tabula_ikm!G$1)+ROW(tabula_ikm!G5),1,1,"tabula_ikm"))="","",INDIRECT(ADDRESS(ROW(tabula_ikm!G$6),COLUMN(tabula_ikm!G$1)+ROW(tabula_ikm!G5),1,1,"tabula_ikm")))</f>
        <v>36.815853999999987</v>
      </c>
      <c r="C45" s="33">
        <f ca="1">IF(INDIRECT(ADDRESS(ROW(tabula_ikm!G$6),COLUMN(tabula_ikm!G$1)+ROW(tabula_ikm!G5)+12,1,1,"tabula_ikm"))="","",INDIRECT(ADDRESS(ROW(tabula_ikm!G$6),COLUMN(tabula_ikm!G$1)+ROW(tabula_ikm!G5)+12,1,1,"tabula_ikm")))</f>
        <v>49.467463999999993</v>
      </c>
      <c r="D45" s="33" t="str">
        <f ca="1">IF(INDIRECT(ADDRESS(ROW(tabula_ikm!G$6),COLUMN(tabula_ikm!G$1)+ROW(tabula_ikm!G5)+24,1,1,"tabula_ikm"))="","",INDIRECT(ADDRESS(ROW(tabula_ikm!G$6),COLUMN(tabula_ikm!G$1)+ROW(tabula_ikm!G5)+24,1,1,"tabula_ikm")))</f>
        <v/>
      </c>
      <c r="E45" s="33">
        <f t="shared" ca="1" si="5"/>
        <v>34.364570220210041</v>
      </c>
      <c r="F45" s="33" t="e">
        <f t="shared" ca="1" si="6"/>
        <v>#N/A</v>
      </c>
      <c r="G45" s="34">
        <f t="shared" ca="1" si="7"/>
        <v>34.364570220210041</v>
      </c>
      <c r="H45" s="34" t="str">
        <f t="shared" ca="1" si="8"/>
        <v/>
      </c>
    </row>
    <row r="46" spans="1:10">
      <c r="A46" s="32" t="s">
        <v>13</v>
      </c>
      <c r="B46" s="33">
        <f ca="1">IF(INDIRECT(ADDRESS(ROW(tabula_ikm!G$6),COLUMN(tabula_ikm!G$1)+ROW(tabula_ikm!G6),1,1,"tabula_ikm"))="","",INDIRECT(ADDRESS(ROW(tabula_ikm!G$6),COLUMN(tabula_ikm!G$1)+ROW(tabula_ikm!G6),1,1,"tabula_ikm")))</f>
        <v>41.259418000000011</v>
      </c>
      <c r="C46" s="33">
        <f ca="1">IF(INDIRECT(ADDRESS(ROW(tabula_ikm!G$6),COLUMN(tabula_ikm!G$1)+ROW(tabula_ikm!G6)+12,1,1,"tabula_ikm"))="","",INDIRECT(ADDRESS(ROW(tabula_ikm!G$6),COLUMN(tabula_ikm!G$1)+ROW(tabula_ikm!G6)+12,1,1,"tabula_ikm")))</f>
        <v>44.263114999999999</v>
      </c>
      <c r="D46" s="33" t="str">
        <f ca="1">IF(INDIRECT(ADDRESS(ROW(tabula_ikm!G$6),COLUMN(tabula_ikm!G$1)+ROW(tabula_ikm!G6)+24,1,1,"tabula_ikm"))="","",INDIRECT(ADDRESS(ROW(tabula_ikm!G$6),COLUMN(tabula_ikm!G$1)+ROW(tabula_ikm!G6)+24,1,1,"tabula_ikm")))</f>
        <v/>
      </c>
      <c r="E46" s="33">
        <f t="shared" ca="1" si="5"/>
        <v>7.2800275563750905</v>
      </c>
      <c r="F46" s="33" t="e">
        <f t="shared" ca="1" si="6"/>
        <v>#N/A</v>
      </c>
      <c r="G46" s="34">
        <f t="shared" ca="1" si="7"/>
        <v>7.2800275563750905</v>
      </c>
      <c r="H46" s="34" t="str">
        <f t="shared" ca="1" si="8"/>
        <v/>
      </c>
    </row>
    <row r="47" spans="1:10">
      <c r="A47" s="32" t="s">
        <v>14</v>
      </c>
      <c r="B47" s="33">
        <f ca="1">IF(INDIRECT(ADDRESS(ROW(tabula_ikm!G$6),COLUMN(tabula_ikm!G$1)+ROW(tabula_ikm!G7),1,1,"tabula_ikm"))="","",INDIRECT(ADDRESS(ROW(tabula_ikm!G$6),COLUMN(tabula_ikm!G$1)+ROW(tabula_ikm!G7),1,1,"tabula_ikm")))</f>
        <v>26.677355000000006</v>
      </c>
      <c r="C47" s="33">
        <f ca="1">IF(INDIRECT(ADDRESS(ROW(tabula_ikm!G$6),COLUMN(tabula_ikm!G$1)+ROW(tabula_ikm!G7)+12,1,1,"tabula_ikm"))="","",INDIRECT(ADDRESS(ROW(tabula_ikm!G$6),COLUMN(tabula_ikm!G$1)+ROW(tabula_ikm!G7)+12,1,1,"tabula_ikm")))</f>
        <v>27.860117000000002</v>
      </c>
      <c r="D47" s="33" t="str">
        <f ca="1">IF(INDIRECT(ADDRESS(ROW(tabula_ikm!G$6),COLUMN(tabula_ikm!G$1)+ROW(tabula_ikm!G7)+24,1,1,"tabula_ikm"))="","",INDIRECT(ADDRESS(ROW(tabula_ikm!G$6),COLUMN(tabula_ikm!G$1)+ROW(tabula_ikm!G7)+24,1,1,"tabula_ikm")))</f>
        <v/>
      </c>
      <c r="E47" s="33">
        <f t="shared" ca="1" si="5"/>
        <v>4.4335804655296407</v>
      </c>
      <c r="F47" s="33" t="e">
        <f t="shared" ca="1" si="6"/>
        <v>#N/A</v>
      </c>
      <c r="G47" s="34">
        <f t="shared" ca="1" si="7"/>
        <v>4.4335804655296407</v>
      </c>
      <c r="H47" s="34" t="str">
        <f t="shared" ca="1" si="8"/>
        <v/>
      </c>
    </row>
    <row r="48" spans="1:10">
      <c r="A48" s="32" t="s">
        <v>15</v>
      </c>
      <c r="B48" s="33">
        <f ca="1">IF(INDIRECT(ADDRESS(ROW(tabula_ikm!G$6),COLUMN(tabula_ikm!G$1)+ROW(tabula_ikm!G8),1,1,"tabula_ikm"))="","",INDIRECT(ADDRESS(ROW(tabula_ikm!G$6),COLUMN(tabula_ikm!G$1)+ROW(tabula_ikm!G8),1,1,"tabula_ikm")))</f>
        <v>26.080296000000004</v>
      </c>
      <c r="C48" s="33">
        <f ca="1">IF(INDIRECT(ADDRESS(ROW(tabula_ikm!G$6),COLUMN(tabula_ikm!G$1)+ROW(tabula_ikm!G8)+12,1,1,"tabula_ikm"))="","",INDIRECT(ADDRESS(ROW(tabula_ikm!G$6),COLUMN(tabula_ikm!G$1)+ROW(tabula_ikm!G8)+12,1,1,"tabula_ikm")))</f>
        <v>31.240998999999988</v>
      </c>
      <c r="D48" s="33" t="str">
        <f ca="1">IF(INDIRECT(ADDRESS(ROW(tabula_ikm!G$6),COLUMN(tabula_ikm!G$1)+ROW(tabula_ikm!G8)+24,1,1,"tabula_ikm"))="","",INDIRECT(ADDRESS(ROW(tabula_ikm!G$6),COLUMN(tabula_ikm!G$1)+ROW(tabula_ikm!G8)+24,1,1,"tabula_ikm")))</f>
        <v/>
      </c>
      <c r="E48" s="33">
        <f t="shared" ca="1" si="5"/>
        <v>19.787747040907753</v>
      </c>
      <c r="F48" s="33" t="e">
        <f t="shared" ca="1" si="6"/>
        <v>#N/A</v>
      </c>
      <c r="G48" s="34">
        <f t="shared" ca="1" si="7"/>
        <v>19.787747040907753</v>
      </c>
      <c r="H48" s="34" t="str">
        <f t="shared" ca="1" si="8"/>
        <v/>
      </c>
    </row>
    <row r="49" spans="1:9">
      <c r="A49" s="32" t="s">
        <v>16</v>
      </c>
      <c r="B49" s="33">
        <f ca="1">IF(INDIRECT(ADDRESS(ROW(tabula_ikm!G$6),COLUMN(tabula_ikm!G$1)+ROW(tabula_ikm!G9),1,1,"tabula_ikm"))="","",INDIRECT(ADDRESS(ROW(tabula_ikm!G$6),COLUMN(tabula_ikm!G$1)+ROW(tabula_ikm!G9),1,1,"tabula_ikm")))</f>
        <v>14.512897999999979</v>
      </c>
      <c r="C49" s="33">
        <f ca="1">IF(INDIRECT(ADDRESS(ROW(tabula_ikm!G$6),COLUMN(tabula_ikm!G$1)+ROW(tabula_ikm!G9)+12,1,1,"tabula_ikm"))="","",INDIRECT(ADDRESS(ROW(tabula_ikm!G$6),COLUMN(tabula_ikm!G$1)+ROW(tabula_ikm!G9)+12,1,1,"tabula_ikm")))</f>
        <v>25.169040999999993</v>
      </c>
      <c r="D49" s="33" t="str">
        <f ca="1">IF(INDIRECT(ADDRESS(ROW(tabula_ikm!G$6),COLUMN(tabula_ikm!G$1)+ROW(tabula_ikm!G9)+24,1,1,"tabula_ikm"))="","",INDIRECT(ADDRESS(ROW(tabula_ikm!G$6),COLUMN(tabula_ikm!G$1)+ROW(tabula_ikm!G9)+24,1,1,"tabula_ikm")))</f>
        <v/>
      </c>
      <c r="E49" s="33">
        <f t="shared" ca="1" si="5"/>
        <v>73.425328283848131</v>
      </c>
      <c r="F49" s="33" t="e">
        <f t="shared" ca="1" si="6"/>
        <v>#N/A</v>
      </c>
      <c r="G49" s="34">
        <f t="shared" ca="1" si="7"/>
        <v>73.425328283848131</v>
      </c>
      <c r="H49" s="34" t="str">
        <f t="shared" ca="1" si="8"/>
        <v/>
      </c>
    </row>
    <row r="50" spans="1:9">
      <c r="A50" s="32" t="s">
        <v>17</v>
      </c>
      <c r="B50" s="33">
        <f ca="1">IF(INDIRECT(ADDRESS(ROW(tabula_ikm!G$6),COLUMN(tabula_ikm!G$1)+ROW(tabula_ikm!G10),1,1,"tabula_ikm"))="","",INDIRECT(ADDRESS(ROW(tabula_ikm!G$6),COLUMN(tabula_ikm!G$1)+ROW(tabula_ikm!G10),1,1,"tabula_ikm")))</f>
        <v>23.384589000000005</v>
      </c>
      <c r="C50" s="33">
        <f ca="1">IF(INDIRECT(ADDRESS(ROW(tabula_ikm!G$6),COLUMN(tabula_ikm!G$1)+ROW(tabula_ikm!G10)+12,1,1,"tabula_ikm"))="","",INDIRECT(ADDRESS(ROW(tabula_ikm!G$6),COLUMN(tabula_ikm!G$1)+ROW(tabula_ikm!G10)+12,1,1,"tabula_ikm")))</f>
        <v>29.345911000000001</v>
      </c>
      <c r="D50" s="33" t="str">
        <f ca="1">IF(INDIRECT(ADDRESS(ROW(tabula_ikm!G$6),COLUMN(tabula_ikm!G$1)+ROW(tabula_ikm!G10)+24,1,1,"tabula_ikm"))="","",INDIRECT(ADDRESS(ROW(tabula_ikm!G$6),COLUMN(tabula_ikm!G$1)+ROW(tabula_ikm!G10)+24,1,1,"tabula_ikm")))</f>
        <v/>
      </c>
      <c r="E50" s="33">
        <f t="shared" ca="1" si="5"/>
        <v>25.492524157683484</v>
      </c>
      <c r="F50" s="33" t="e">
        <f t="shared" ca="1" si="6"/>
        <v>#N/A</v>
      </c>
      <c r="G50" s="34">
        <f t="shared" ca="1" si="7"/>
        <v>25.492524157683484</v>
      </c>
      <c r="H50" s="34" t="str">
        <f t="shared" ca="1" si="8"/>
        <v/>
      </c>
    </row>
    <row r="51" spans="1:9">
      <c r="A51" s="32" t="s">
        <v>18</v>
      </c>
      <c r="B51" s="33">
        <f ca="1">IF(INDIRECT(ADDRESS(ROW(tabula_ikm!G$6),COLUMN(tabula_ikm!G$1)+ROW(tabula_ikm!G11),1,1,"tabula_ikm"))="","",INDIRECT(ADDRESS(ROW(tabula_ikm!G$6),COLUMN(tabula_ikm!G$1)+ROW(tabula_ikm!G11),1,1,"tabula_ikm")))</f>
        <v>28.751220999999987</v>
      </c>
      <c r="C51" s="33">
        <f ca="1">IF(INDIRECT(ADDRESS(ROW(tabula_ikm!G$6),COLUMN(tabula_ikm!G$1)+ROW(tabula_ikm!G11)+12,1,1,"tabula_ikm"))="","",INDIRECT(ADDRESS(ROW(tabula_ikm!G$6),COLUMN(tabula_ikm!G$1)+ROW(tabula_ikm!G11)+12,1,1,"tabula_ikm")))</f>
        <v>24.259136000000012</v>
      </c>
      <c r="D51" s="33" t="str">
        <f ca="1">IF(INDIRECT(ADDRESS(ROW(tabula_ikm!G$6),COLUMN(tabula_ikm!G$1)+ROW(tabula_ikm!G11)+24,1,1,"tabula_ikm"))="","",INDIRECT(ADDRESS(ROW(tabula_ikm!G$6),COLUMN(tabula_ikm!G$1)+ROW(tabula_ikm!G11)+24,1,1,"tabula_ikm")))</f>
        <v/>
      </c>
      <c r="E51" s="33">
        <f t="shared" ca="1" si="5"/>
        <v>-15.623979934625998</v>
      </c>
      <c r="F51" s="33" t="e">
        <f t="shared" ca="1" si="6"/>
        <v>#N/A</v>
      </c>
      <c r="G51" s="34">
        <f t="shared" ca="1" si="7"/>
        <v>-15.623979934625998</v>
      </c>
      <c r="H51" s="34" t="str">
        <f t="shared" ca="1" si="8"/>
        <v/>
      </c>
    </row>
    <row r="52" spans="1:9">
      <c r="A52" s="32" t="s">
        <v>19</v>
      </c>
      <c r="B52" s="33">
        <f ca="1">IF(INDIRECT(ADDRESS(ROW(tabula_ikm!G$6),COLUMN(tabula_ikm!G$1)+ROW(tabula_ikm!G12),1,1,"tabula_ikm"))="","",INDIRECT(ADDRESS(ROW(tabula_ikm!G$6),COLUMN(tabula_ikm!G$1)+ROW(tabula_ikm!G12),1,1,"tabula_ikm")))</f>
        <v>-8.8433309999999778</v>
      </c>
      <c r="C52" s="33">
        <f ca="1">IF(INDIRECT(ADDRESS(ROW(tabula_ikm!G$6),COLUMN(tabula_ikm!G$1)+ROW(tabula_ikm!G12)+12,1,1,"tabula_ikm"))="","",INDIRECT(ADDRESS(ROW(tabula_ikm!G$6),COLUMN(tabula_ikm!G$1)+ROW(tabula_ikm!G12)+12,1,1,"tabula_ikm")))</f>
        <v>28.37249300000002</v>
      </c>
      <c r="D52" s="33" t="str">
        <f ca="1">IF(INDIRECT(ADDRESS(ROW(tabula_ikm!G$6),COLUMN(tabula_ikm!G$1)+ROW(tabula_ikm!G12)+24,1,1,"tabula_ikm"))="","",INDIRECT(ADDRESS(ROW(tabula_ikm!G$6),COLUMN(tabula_ikm!G$1)+ROW(tabula_ikm!G12)+24,1,1,"tabula_ikm")))</f>
        <v/>
      </c>
      <c r="E52" s="33">
        <f t="shared" ca="1" si="5"/>
        <v>-420.8349093797359</v>
      </c>
      <c r="F52" s="33" t="e">
        <f t="shared" ca="1" si="6"/>
        <v>#N/A</v>
      </c>
      <c r="G52" s="34">
        <f t="shared" ca="1" si="7"/>
        <v>-420.8349093797359</v>
      </c>
      <c r="H52" s="34" t="str">
        <f t="shared" ca="1" si="8"/>
        <v/>
      </c>
    </row>
    <row r="53" spans="1:9">
      <c r="A53" s="35" t="s">
        <v>21</v>
      </c>
      <c r="B53" s="36">
        <f t="shared" ref="B53:C53" ca="1" si="9">SUM(B41:B52)</f>
        <v>281.079384</v>
      </c>
      <c r="C53" s="36">
        <f t="shared" ca="1" si="9"/>
        <v>378.75044600000001</v>
      </c>
      <c r="D53" s="36">
        <f ca="1">SUM(D41:D52)</f>
        <v>159.99788799999999</v>
      </c>
      <c r="E53" s="36">
        <f ca="1">IFERROR((C53/B53-1)*100,"")</f>
        <v>34.748568397317968</v>
      </c>
      <c r="F53" s="36">
        <f ca="1">IFERROR((D53/C53-1)*100,"")</f>
        <v>-57.756382945619023</v>
      </c>
      <c r="G53" s="36">
        <f t="shared" ca="1" si="7"/>
        <v>34.748568397317968</v>
      </c>
      <c r="H53" s="36">
        <f t="shared" ref="H53" ca="1" si="10">IFERROR((D53/C53-1)*100,"")</f>
        <v>-57.756382945619023</v>
      </c>
      <c r="I53" s="5">
        <f ca="1">IFERROR(G53/D53*100,"")</f>
        <v>21.718141927797177</v>
      </c>
    </row>
    <row r="54" spans="1:9">
      <c r="A54" s="38"/>
      <c r="B54" s="39"/>
      <c r="C54" s="40"/>
      <c r="D54" s="39"/>
      <c r="E54" s="39"/>
      <c r="F54" s="39"/>
      <c r="G54" s="41"/>
      <c r="H54" s="41"/>
    </row>
    <row r="55" spans="1:9">
      <c r="A55" s="38"/>
      <c r="B55" s="39"/>
      <c r="C55" s="39"/>
      <c r="D55" s="39"/>
      <c r="E55" s="39"/>
      <c r="F55" s="39"/>
      <c r="G55" s="41"/>
      <c r="H55" s="41"/>
    </row>
    <row r="56" spans="1:9">
      <c r="A56" s="38"/>
      <c r="B56" s="39"/>
      <c r="C56" s="39"/>
      <c r="D56" s="39"/>
      <c r="E56" s="39"/>
      <c r="F56" s="39"/>
      <c r="G56" s="41"/>
      <c r="H56" s="41"/>
    </row>
    <row r="57" spans="1:9">
      <c r="A57" s="38"/>
      <c r="B57" s="39"/>
      <c r="C57" s="39"/>
      <c r="D57" s="39"/>
      <c r="E57" s="39"/>
      <c r="F57" s="39"/>
      <c r="G57" s="41"/>
      <c r="H57" s="41"/>
    </row>
    <row r="58" spans="1:9">
      <c r="A58" s="38"/>
      <c r="B58" s="39"/>
      <c r="C58" s="39"/>
      <c r="D58" s="39"/>
      <c r="E58" s="39"/>
      <c r="F58" s="39"/>
      <c r="G58" s="41"/>
      <c r="H58" s="41"/>
    </row>
    <row r="59" spans="1:9">
      <c r="A59" s="38"/>
      <c r="B59" s="39"/>
      <c r="C59" s="39"/>
      <c r="D59" s="39"/>
      <c r="E59" s="39"/>
      <c r="F59" s="39"/>
      <c r="G59" s="41"/>
      <c r="H59" s="41"/>
    </row>
    <row r="60" spans="1:9">
      <c r="A60" s="38"/>
      <c r="B60" s="39"/>
      <c r="C60" s="39"/>
      <c r="D60" s="39"/>
      <c r="E60" s="39"/>
      <c r="F60" s="39"/>
      <c r="G60" s="41"/>
      <c r="H60" s="41"/>
    </row>
    <row r="61" spans="1:9">
      <c r="A61" s="38"/>
      <c r="B61" s="39"/>
      <c r="C61" s="39"/>
      <c r="D61" s="39"/>
      <c r="E61" s="39"/>
      <c r="F61" s="39"/>
      <c r="G61" s="41"/>
      <c r="H61" s="41"/>
    </row>
    <row r="62" spans="1:9">
      <c r="A62" s="38"/>
      <c r="B62" s="39"/>
      <c r="C62" s="39"/>
      <c r="D62" s="39"/>
      <c r="E62" s="39"/>
      <c r="F62" s="39"/>
      <c r="G62" s="41"/>
      <c r="H62" s="41"/>
    </row>
    <row r="63" spans="1:9">
      <c r="A63" s="38"/>
      <c r="B63" s="39"/>
      <c r="C63" s="39"/>
      <c r="D63" s="39"/>
      <c r="E63" s="39"/>
      <c r="F63" s="39"/>
      <c r="G63" s="41"/>
      <c r="H63" s="41"/>
    </row>
    <row r="64" spans="1:9">
      <c r="A64" s="38"/>
      <c r="B64" s="39"/>
      <c r="C64" s="39"/>
      <c r="D64" s="39"/>
      <c r="E64" s="39"/>
      <c r="F64" s="39"/>
      <c r="G64" s="41"/>
      <c r="H64" s="41"/>
    </row>
    <row r="65" spans="1:10">
      <c r="A65" s="38"/>
      <c r="B65" s="39"/>
      <c r="C65" s="39"/>
      <c r="D65" s="39"/>
      <c r="E65" s="39"/>
      <c r="F65" s="39"/>
      <c r="G65" s="41"/>
      <c r="H65" s="41"/>
    </row>
    <row r="66" spans="1:10">
      <c r="A66" s="38"/>
      <c r="B66" s="39"/>
      <c r="C66" s="39"/>
      <c r="D66" s="39"/>
      <c r="E66" s="39"/>
      <c r="F66" s="39"/>
      <c r="G66" s="41"/>
      <c r="H66" s="41"/>
    </row>
    <row r="67" spans="1:10">
      <c r="A67" s="38"/>
      <c r="B67" s="39"/>
      <c r="C67" s="39"/>
      <c r="D67" s="39"/>
      <c r="E67" s="39"/>
      <c r="F67" s="39"/>
      <c r="G67" s="41"/>
      <c r="H67" s="41"/>
    </row>
    <row r="68" spans="1:10">
      <c r="A68" s="38"/>
      <c r="B68" s="39"/>
      <c r="C68" s="39"/>
      <c r="D68" s="39"/>
      <c r="E68" s="39"/>
      <c r="F68" s="39"/>
      <c r="G68" s="41"/>
      <c r="H68" s="41"/>
    </row>
    <row r="69" spans="1:10">
      <c r="A69" s="102" t="s">
        <v>0</v>
      </c>
      <c r="B69" s="103"/>
      <c r="C69" s="103"/>
      <c r="D69" s="103"/>
      <c r="E69" s="103"/>
      <c r="F69" s="103"/>
      <c r="G69" s="103"/>
      <c r="H69" s="104"/>
    </row>
    <row r="70" spans="1:10" s="3" customFormat="1" ht="15" customHeight="1">
      <c r="A70" s="26" t="s">
        <v>5</v>
      </c>
      <c r="B70" s="99" t="s">
        <v>177</v>
      </c>
      <c r="C70" s="101"/>
      <c r="D70" s="100"/>
      <c r="E70" s="99" t="s">
        <v>2</v>
      </c>
      <c r="F70" s="100"/>
      <c r="G70" s="99" t="s">
        <v>2</v>
      </c>
      <c r="H70" s="100"/>
      <c r="I70" s="6"/>
    </row>
    <row r="71" spans="1:10">
      <c r="A71" s="27">
        <v>1</v>
      </c>
      <c r="B71" s="28">
        <v>2</v>
      </c>
      <c r="C71" s="28">
        <v>3</v>
      </c>
      <c r="D71" s="28">
        <v>4</v>
      </c>
      <c r="E71" s="29" t="s">
        <v>71</v>
      </c>
      <c r="F71" s="29" t="s">
        <v>72</v>
      </c>
      <c r="G71" s="29" t="s">
        <v>71</v>
      </c>
      <c r="H71" s="29" t="s">
        <v>72</v>
      </c>
    </row>
    <row r="72" spans="1:10">
      <c r="A72" s="30"/>
      <c r="B72" s="28" t="s">
        <v>23</v>
      </c>
      <c r="C72" s="28" t="s">
        <v>6</v>
      </c>
      <c r="D72" s="28" t="s">
        <v>7</v>
      </c>
      <c r="E72" s="28" t="s">
        <v>6</v>
      </c>
      <c r="F72" s="28" t="s">
        <v>7</v>
      </c>
      <c r="G72" s="28" t="s">
        <v>6</v>
      </c>
      <c r="H72" s="28" t="s">
        <v>7</v>
      </c>
    </row>
    <row r="73" spans="1:10" ht="29">
      <c r="A73" s="31"/>
      <c r="B73" s="26">
        <v>2021</v>
      </c>
      <c r="C73" s="26">
        <v>2022</v>
      </c>
      <c r="D73" s="26">
        <v>2023</v>
      </c>
      <c r="E73" s="26" t="s">
        <v>74</v>
      </c>
      <c r="F73" s="26" t="s">
        <v>73</v>
      </c>
      <c r="G73" s="26" t="s">
        <v>162</v>
      </c>
      <c r="H73" s="26" t="s">
        <v>73</v>
      </c>
    </row>
    <row r="74" spans="1:10">
      <c r="A74" s="32" t="s">
        <v>8</v>
      </c>
      <c r="B74" s="33">
        <f ca="1">IF(INDIRECT(ADDRESS(ROW(tabula_ikm!G$11),COLUMN(tabula_ikm!G$1)+ROW(tabula_ikm!G1),1,1,"tabula_ikm"))="","",INDIRECT(ADDRESS(ROW(tabula_ikm!G$11),COLUMN(tabula_ikm!G$1)+ROW(tabula_ikm!G1),1,1,"tabula_ikm")))</f>
        <v>218.35477900000001</v>
      </c>
      <c r="C74" s="33">
        <f ca="1">IF(INDIRECT(ADDRESS(ROW(tabula_ikm!G$11),COLUMN(tabula_ikm!G$1)+ROW(tabula_ikm!G1)+12,1,1,"tabula_ikm"))="","",INDIRECT(ADDRESS(ROW(tabula_ikm!G$11),COLUMN(tabula_ikm!G$1)+ROW(tabula_ikm!G1)+12,1,1,"tabula_ikm")))</f>
        <v>305.15682800000002</v>
      </c>
      <c r="D74" s="33">
        <f ca="1">IF(INDIRECT(ADDRESS(ROW(tabula_ikm!G$11),COLUMN(tabula_ikm!G$1)+ROW(tabula_ikm!G1)+24,1,1,"tabula_ikm"))="","",INDIRECT(ADDRESS(ROW(tabula_ikm!G$11),COLUMN(tabula_ikm!G$1)+ROW(tabula_ikm!G1)+24,1,1,"tabula_ikm")))</f>
        <v>386.10967099999999</v>
      </c>
      <c r="E74" s="33">
        <f ca="1">IFERROR((C74/B74-1)*100,NA())</f>
        <v>39.752758972131311</v>
      </c>
      <c r="F74" s="33">
        <f ca="1">IFERROR((D74/C74-1)*100,NA())</f>
        <v>26.528275159551718</v>
      </c>
      <c r="G74" s="34">
        <f ca="1">IFERROR((C74/B74-1)*100,"")</f>
        <v>39.752758972131311</v>
      </c>
      <c r="H74" s="34">
        <f ca="1">IFERROR((D74/C74-1)*100,"")</f>
        <v>26.528275159551718</v>
      </c>
    </row>
    <row r="75" spans="1:10">
      <c r="A75" s="32" t="s">
        <v>9</v>
      </c>
      <c r="B75" s="33">
        <f ca="1">IF(INDIRECT(ADDRESS(ROW(tabula_ikm!G$11),COLUMN(tabula_ikm!G$1)+ROW(tabula_ikm!G2),1,1,"tabula_ikm"))="","",INDIRECT(ADDRESS(ROW(tabula_ikm!G$11),COLUMN(tabula_ikm!G$1)+ROW(tabula_ikm!G2),1,1,"tabula_ikm")))</f>
        <v>209.04308800000001</v>
      </c>
      <c r="C75" s="33">
        <f ca="1">IF(INDIRECT(ADDRESS(ROW(tabula_ikm!G$11),COLUMN(tabula_ikm!G$1)+ROW(tabula_ikm!G2)+12,1,1,"tabula_ikm"))="","",INDIRECT(ADDRESS(ROW(tabula_ikm!G$11),COLUMN(tabula_ikm!G$1)+ROW(tabula_ikm!G2)+12,1,1,"tabula_ikm")))</f>
        <v>241.22451799999999</v>
      </c>
      <c r="D75" s="33">
        <f ca="1">IF(INDIRECT(ADDRESS(ROW(tabula_ikm!G$11),COLUMN(tabula_ikm!G$1)+ROW(tabula_ikm!G2)+24,1,1,"tabula_ikm"))="","",INDIRECT(ADDRESS(ROW(tabula_ikm!G$11),COLUMN(tabula_ikm!G$1)+ROW(tabula_ikm!G2)+24,1,1,"tabula_ikm")))</f>
        <v>301.80614199999997</v>
      </c>
      <c r="E75" s="33">
        <f t="shared" ref="E75:E85" ca="1" si="11">IFERROR((C75/B75-1)*100,NA())</f>
        <v>15.394639596981063</v>
      </c>
      <c r="F75" s="33">
        <f t="shared" ref="F75:F85" ca="1" si="12">IFERROR((D75/C75-1)*100,NA())</f>
        <v>25.114206674464157</v>
      </c>
      <c r="G75" s="34">
        <f t="shared" ref="G75:G86" ca="1" si="13">IFERROR((C75/B75-1)*100,"")</f>
        <v>15.394639596981063</v>
      </c>
      <c r="H75" s="34">
        <f t="shared" ref="H75:H85" ca="1" si="14">IFERROR((D75/C75-1)*100,"")</f>
        <v>25.114206674464157</v>
      </c>
    </row>
    <row r="76" spans="1:10">
      <c r="A76" s="32" t="s">
        <v>10</v>
      </c>
      <c r="B76" s="33">
        <f ca="1">IF(INDIRECT(ADDRESS(ROW(tabula_ikm!G$11),COLUMN(tabula_ikm!G$1)+ROW(tabula_ikm!G3),1,1,"tabula_ikm"))="","",INDIRECT(ADDRESS(ROW(tabula_ikm!G$11),COLUMN(tabula_ikm!G$1)+ROW(tabula_ikm!G3),1,1,"tabula_ikm")))</f>
        <v>168.04027899999994</v>
      </c>
      <c r="C76" s="33">
        <f ca="1">IF(INDIRECT(ADDRESS(ROW(tabula_ikm!G$11),COLUMN(tabula_ikm!G$1)+ROW(tabula_ikm!G3)+12,1,1,"tabula_ikm"))="","",INDIRECT(ADDRESS(ROW(tabula_ikm!G$11),COLUMN(tabula_ikm!G$1)+ROW(tabula_ikm!G3)+12,1,1,"tabula_ikm")))</f>
        <v>213.27002100000004</v>
      </c>
      <c r="D76" s="33">
        <f ca="1">IF(INDIRECT(ADDRESS(ROW(tabula_ikm!G$11),COLUMN(tabula_ikm!G$1)+ROW(tabula_ikm!G3)+24,1,1,"tabula_ikm"))="","",INDIRECT(ADDRESS(ROW(tabula_ikm!G$11),COLUMN(tabula_ikm!G$1)+ROW(tabula_ikm!G3)+24,1,1,"tabula_ikm")))</f>
        <v>325.43222800000001</v>
      </c>
      <c r="E76" s="33">
        <f t="shared" ca="1" si="11"/>
        <v>26.916012202050755</v>
      </c>
      <c r="F76" s="33">
        <f t="shared" ca="1" si="12"/>
        <v>52.591642498126802</v>
      </c>
      <c r="G76" s="34">
        <f t="shared" ca="1" si="13"/>
        <v>26.916012202050755</v>
      </c>
      <c r="H76" s="89">
        <f t="shared" ca="1" si="14"/>
        <v>52.591642498126802</v>
      </c>
    </row>
    <row r="77" spans="1:10">
      <c r="A77" s="32" t="s">
        <v>11</v>
      </c>
      <c r="B77" s="33">
        <f ca="1">IF(INDIRECT(ADDRESS(ROW(tabula_ikm!G$11),COLUMN(tabula_ikm!G$1)+ROW(tabula_ikm!G4),1,1,"tabula_ikm"))="","",INDIRECT(ADDRESS(ROW(tabula_ikm!G$11),COLUMN(tabula_ikm!G$1)+ROW(tabula_ikm!G4),1,1,"tabula_ikm")))</f>
        <v>240.62127100000009</v>
      </c>
      <c r="C77" s="33">
        <f ca="1">IF(INDIRECT(ADDRESS(ROW(tabula_ikm!G$11),COLUMN(tabula_ikm!G$1)+ROW(tabula_ikm!G4)+12,1,1,"tabula_ikm"))="","",INDIRECT(ADDRESS(ROW(tabula_ikm!G$11),COLUMN(tabula_ikm!G$1)+ROW(tabula_ikm!G4)+12,1,1,"tabula_ikm")))</f>
        <v>317.51033500000005</v>
      </c>
      <c r="D77" s="33">
        <f ca="1">IF(INDIRECT(ADDRESS(ROW(tabula_ikm!G$11),COLUMN(tabula_ikm!G$1)+ROW(tabula_ikm!G4)+24,1,1,"tabula_ikm"))="","",INDIRECT(ADDRESS(ROW(tabula_ikm!G$11),COLUMN(tabula_ikm!G$1)+ROW(tabula_ikm!G4)+24,1,1,"tabula_ikm")))</f>
        <v>338.49891400000001</v>
      </c>
      <c r="E77" s="33">
        <f t="shared" ca="1" si="11"/>
        <v>31.954391929049343</v>
      </c>
      <c r="F77" s="33">
        <f t="shared" ca="1" si="12"/>
        <v>6.6103608879376941</v>
      </c>
      <c r="G77" s="34">
        <f t="shared" ca="1" si="13"/>
        <v>31.954391929049343</v>
      </c>
      <c r="H77" s="34">
        <f t="shared" ca="1" si="14"/>
        <v>6.6103608879376941</v>
      </c>
      <c r="J77" s="105"/>
    </row>
    <row r="78" spans="1:10">
      <c r="A78" s="32" t="s">
        <v>12</v>
      </c>
      <c r="B78" s="33">
        <f ca="1">IF(INDIRECT(ADDRESS(ROW(tabula_ikm!G$11),COLUMN(tabula_ikm!G$1)+ROW(tabula_ikm!G5),1,1,"tabula_ikm"))="","",INDIRECT(ADDRESS(ROW(tabula_ikm!G$11),COLUMN(tabula_ikm!G$1)+ROW(tabula_ikm!G5),1,1,"tabula_ikm")))</f>
        <v>233.94073199999991</v>
      </c>
      <c r="C78" s="33">
        <f ca="1">IF(INDIRECT(ADDRESS(ROW(tabula_ikm!G$11),COLUMN(tabula_ikm!G$1)+ROW(tabula_ikm!G5)+12,1,1,"tabula_ikm"))="","",INDIRECT(ADDRESS(ROW(tabula_ikm!G$11),COLUMN(tabula_ikm!G$1)+ROW(tabula_ikm!G5)+12,1,1,"tabula_ikm")))</f>
        <v>241.8759849999999</v>
      </c>
      <c r="D78" s="33" t="str">
        <f ca="1">IF(INDIRECT(ADDRESS(ROW(tabula_ikm!G$11),COLUMN(tabula_ikm!G$1)+ROW(tabula_ikm!G5)+24,1,1,"tabula_ikm"))="","",INDIRECT(ADDRESS(ROW(tabula_ikm!G$11),COLUMN(tabula_ikm!G$1)+ROW(tabula_ikm!G5)+24,1,1,"tabula_ikm")))</f>
        <v/>
      </c>
      <c r="E78" s="33">
        <f t="shared" ca="1" si="11"/>
        <v>3.3919928916012809</v>
      </c>
      <c r="F78" s="33" t="e">
        <f t="shared" ca="1" si="12"/>
        <v>#N/A</v>
      </c>
      <c r="G78" s="34">
        <f t="shared" ca="1" si="13"/>
        <v>3.3919928916012809</v>
      </c>
      <c r="H78" s="34" t="str">
        <f t="shared" ca="1" si="14"/>
        <v/>
      </c>
    </row>
    <row r="79" spans="1:10">
      <c r="A79" s="32" t="s">
        <v>13</v>
      </c>
      <c r="B79" s="33">
        <f ca="1">IF(INDIRECT(ADDRESS(ROW(tabula_ikm!G$11),COLUMN(tabula_ikm!G$1)+ROW(tabula_ikm!G6),1,1,"tabula_ikm"))="","",INDIRECT(ADDRESS(ROW(tabula_ikm!G$11),COLUMN(tabula_ikm!G$1)+ROW(tabula_ikm!G6),1,1,"tabula_ikm")))</f>
        <v>251.11796800000002</v>
      </c>
      <c r="C79" s="33">
        <f ca="1">IF(INDIRECT(ADDRESS(ROW(tabula_ikm!G$11),COLUMN(tabula_ikm!G$1)+ROW(tabula_ikm!G6)+12,1,1,"tabula_ikm"))="","",INDIRECT(ADDRESS(ROW(tabula_ikm!G$11),COLUMN(tabula_ikm!G$1)+ROW(tabula_ikm!G6)+12,1,1,"tabula_ikm")))</f>
        <v>307.37908599999992</v>
      </c>
      <c r="D79" s="33" t="str">
        <f ca="1">IF(INDIRECT(ADDRESS(ROW(tabula_ikm!G$11),COLUMN(tabula_ikm!G$1)+ROW(tabula_ikm!G6)+24,1,1,"tabula_ikm"))="","",INDIRECT(ADDRESS(ROW(tabula_ikm!G$11),COLUMN(tabula_ikm!G$1)+ROW(tabula_ikm!G6)+24,1,1,"tabula_ikm")))</f>
        <v/>
      </c>
      <c r="E79" s="33">
        <f t="shared" ca="1" si="11"/>
        <v>22.40425822496297</v>
      </c>
      <c r="F79" s="33" t="e">
        <f t="shared" ca="1" si="12"/>
        <v>#N/A</v>
      </c>
      <c r="G79" s="34">
        <f t="shared" ca="1" si="13"/>
        <v>22.40425822496297</v>
      </c>
      <c r="H79" s="34" t="str">
        <f t="shared" ca="1" si="14"/>
        <v/>
      </c>
    </row>
    <row r="80" spans="1:10">
      <c r="A80" s="32" t="s">
        <v>14</v>
      </c>
      <c r="B80" s="33">
        <f ca="1">IF(INDIRECT(ADDRESS(ROW(tabula_ikm!G$11),COLUMN(tabula_ikm!G$1)+ROW(tabula_ikm!G7),1,1,"tabula_ikm"))="","",INDIRECT(ADDRESS(ROW(tabula_ikm!G$11),COLUMN(tabula_ikm!G$1)+ROW(tabula_ikm!G7),1,1,"tabula_ikm")))</f>
        <v>272.44773899999996</v>
      </c>
      <c r="C80" s="33">
        <f ca="1">IF(INDIRECT(ADDRESS(ROW(tabula_ikm!G$11),COLUMN(tabula_ikm!G$1)+ROW(tabula_ikm!G7)+12,1,1,"tabula_ikm"))="","",INDIRECT(ADDRESS(ROW(tabula_ikm!G$11),COLUMN(tabula_ikm!G$1)+ROW(tabula_ikm!G7)+12,1,1,"tabula_ikm")))</f>
        <v>318.39030700000012</v>
      </c>
      <c r="D80" s="33" t="str">
        <f ca="1">IF(INDIRECT(ADDRESS(ROW(tabula_ikm!G$11),COLUMN(tabula_ikm!G$1)+ROW(tabula_ikm!G7)+24,1,1,"tabula_ikm"))="","",INDIRECT(ADDRESS(ROW(tabula_ikm!G$11),COLUMN(tabula_ikm!G$1)+ROW(tabula_ikm!G7)+24,1,1,"tabula_ikm")))</f>
        <v/>
      </c>
      <c r="E80" s="33">
        <f t="shared" ca="1" si="11"/>
        <v>16.862892005868389</v>
      </c>
      <c r="F80" s="33" t="e">
        <f t="shared" ca="1" si="12"/>
        <v>#N/A</v>
      </c>
      <c r="G80" s="34">
        <f t="shared" ca="1" si="13"/>
        <v>16.862892005868389</v>
      </c>
      <c r="H80" s="34" t="str">
        <f t="shared" ca="1" si="14"/>
        <v/>
      </c>
    </row>
    <row r="81" spans="1:8">
      <c r="A81" s="32" t="s">
        <v>15</v>
      </c>
      <c r="B81" s="33">
        <f ca="1">IF(INDIRECT(ADDRESS(ROW(tabula_ikm!G$11),COLUMN(tabula_ikm!G$1)+ROW(tabula_ikm!G8),1,1,"tabula_ikm"))="","",INDIRECT(ADDRESS(ROW(tabula_ikm!G$11),COLUMN(tabula_ikm!G$1)+ROW(tabula_ikm!G8),1,1,"tabula_ikm")))</f>
        <v>266.64371100000017</v>
      </c>
      <c r="C81" s="33">
        <f ca="1">IF(INDIRECT(ADDRESS(ROW(tabula_ikm!G$11),COLUMN(tabula_ikm!G$1)+ROW(tabula_ikm!G8)+12,1,1,"tabula_ikm"))="","",INDIRECT(ADDRESS(ROW(tabula_ikm!G$11),COLUMN(tabula_ikm!G$1)+ROW(tabula_ikm!G8)+12,1,1,"tabula_ikm")))</f>
        <v>302.72456099999999</v>
      </c>
      <c r="D81" s="33" t="str">
        <f ca="1">IF(INDIRECT(ADDRESS(ROW(tabula_ikm!G$11),COLUMN(tabula_ikm!G$1)+ROW(tabula_ikm!G8)+24,1,1,"tabula_ikm"))="","",INDIRECT(ADDRESS(ROW(tabula_ikm!G$11),COLUMN(tabula_ikm!G$1)+ROW(tabula_ikm!G8)+24,1,1,"tabula_ikm")))</f>
        <v/>
      </c>
      <c r="E81" s="33">
        <f t="shared" ca="1" si="11"/>
        <v>13.531483590850502</v>
      </c>
      <c r="F81" s="33" t="e">
        <f t="shared" ca="1" si="12"/>
        <v>#N/A</v>
      </c>
      <c r="G81" s="34">
        <f t="shared" ca="1" si="13"/>
        <v>13.531483590850502</v>
      </c>
      <c r="H81" s="34" t="str">
        <f t="shared" ca="1" si="14"/>
        <v/>
      </c>
    </row>
    <row r="82" spans="1:8">
      <c r="A82" s="32" t="s">
        <v>16</v>
      </c>
      <c r="B82" s="33">
        <f ca="1">IF(INDIRECT(ADDRESS(ROW(tabula_ikm!G$11),COLUMN(tabula_ikm!G$1)+ROW(tabula_ikm!G9),1,1,"tabula_ikm"))="","",INDIRECT(ADDRESS(ROW(tabula_ikm!G$11),COLUMN(tabula_ikm!G$1)+ROW(tabula_ikm!G9),1,1,"tabula_ikm")))</f>
        <v>255.51329699999974</v>
      </c>
      <c r="C82" s="33">
        <f ca="1">IF(INDIRECT(ADDRESS(ROW(tabula_ikm!G$11),COLUMN(tabula_ikm!G$1)+ROW(tabula_ikm!G9)+12,1,1,"tabula_ikm"))="","",INDIRECT(ADDRESS(ROW(tabula_ikm!G$11),COLUMN(tabula_ikm!G$1)+ROW(tabula_ikm!G9)+12,1,1,"tabula_ikm")))</f>
        <v>275.43128799999977</v>
      </c>
      <c r="D82" s="33" t="str">
        <f ca="1">IF(INDIRECT(ADDRESS(ROW(tabula_ikm!G$11),COLUMN(tabula_ikm!G$1)+ROW(tabula_ikm!G9)+24,1,1,"tabula_ikm"))="","",INDIRECT(ADDRESS(ROW(tabula_ikm!G$11),COLUMN(tabula_ikm!G$1)+ROW(tabula_ikm!G9)+24,1,1,"tabula_ikm")))</f>
        <v/>
      </c>
      <c r="E82" s="33">
        <f t="shared" ca="1" si="11"/>
        <v>7.7952855032824564</v>
      </c>
      <c r="F82" s="33" t="e">
        <f t="shared" ca="1" si="12"/>
        <v>#N/A</v>
      </c>
      <c r="G82" s="34">
        <f t="shared" ca="1" si="13"/>
        <v>7.7952855032824564</v>
      </c>
      <c r="H82" s="34" t="str">
        <f t="shared" ca="1" si="14"/>
        <v/>
      </c>
    </row>
    <row r="83" spans="1:8">
      <c r="A83" s="32" t="s">
        <v>17</v>
      </c>
      <c r="B83" s="33">
        <f ca="1">IF(INDIRECT(ADDRESS(ROW(tabula_ikm!G$11),COLUMN(tabula_ikm!G$1)+ROW(tabula_ikm!G10),1,1,"tabula_ikm"))="","",INDIRECT(ADDRESS(ROW(tabula_ikm!G$11),COLUMN(tabula_ikm!G$1)+ROW(tabula_ikm!G10),1,1,"tabula_ikm")))</f>
        <v>281.78393400000004</v>
      </c>
      <c r="C83" s="33">
        <f ca="1">IF(INDIRECT(ADDRESS(ROW(tabula_ikm!G$11),COLUMN(tabula_ikm!G$1)+ROW(tabula_ikm!G10)+12,1,1,"tabula_ikm"))="","",INDIRECT(ADDRESS(ROW(tabula_ikm!G$11),COLUMN(tabula_ikm!G$1)+ROW(tabula_ikm!G10)+12,1,1,"tabula_ikm")))</f>
        <v>329.14276400000017</v>
      </c>
      <c r="D83" s="33" t="str">
        <f ca="1">IF(INDIRECT(ADDRESS(ROW(tabula_ikm!G$11),COLUMN(tabula_ikm!G$1)+ROW(tabula_ikm!G10)+24,1,1,"tabula_ikm"))="","",INDIRECT(ADDRESS(ROW(tabula_ikm!G$11),COLUMN(tabula_ikm!G$1)+ROW(tabula_ikm!G10)+24,1,1,"tabula_ikm")))</f>
        <v/>
      </c>
      <c r="E83" s="33">
        <f t="shared" ca="1" si="11"/>
        <v>16.806788565880449</v>
      </c>
      <c r="F83" s="33" t="e">
        <f t="shared" ca="1" si="12"/>
        <v>#N/A</v>
      </c>
      <c r="G83" s="34">
        <f t="shared" ca="1" si="13"/>
        <v>16.806788565880449</v>
      </c>
      <c r="H83" s="34" t="str">
        <f t="shared" ca="1" si="14"/>
        <v/>
      </c>
    </row>
    <row r="84" spans="1:8">
      <c r="A84" s="32" t="s">
        <v>18</v>
      </c>
      <c r="B84" s="33">
        <f ca="1">IF(INDIRECT(ADDRESS(ROW(tabula_ikm!G$11),COLUMN(tabula_ikm!G$1)+ROW(tabula_ikm!G11),1,1,"tabula_ikm"))="","",INDIRECT(ADDRESS(ROW(tabula_ikm!G$11),COLUMN(tabula_ikm!G$1)+ROW(tabula_ikm!G11),1,1,"tabula_ikm")))</f>
        <v>244.09561500000018</v>
      </c>
      <c r="C84" s="33">
        <f ca="1">IF(INDIRECT(ADDRESS(ROW(tabula_ikm!G$11),COLUMN(tabula_ikm!G$1)+ROW(tabula_ikm!G11)+12,1,1,"tabula_ikm"))="","",INDIRECT(ADDRESS(ROW(tabula_ikm!G$11),COLUMN(tabula_ikm!G$1)+ROW(tabula_ikm!G11)+12,1,1,"tabula_ikm")))</f>
        <v>364.47679599999992</v>
      </c>
      <c r="D84" s="33" t="str">
        <f ca="1">IF(INDIRECT(ADDRESS(ROW(tabula_ikm!G$11),COLUMN(tabula_ikm!G$1)+ROW(tabula_ikm!G11)+24,1,1,"tabula_ikm"))="","",INDIRECT(ADDRESS(ROW(tabula_ikm!G$11),COLUMN(tabula_ikm!G$1)+ROW(tabula_ikm!G11)+24,1,1,"tabula_ikm")))</f>
        <v/>
      </c>
      <c r="E84" s="33">
        <f t="shared" ca="1" si="11"/>
        <v>49.317223908344147</v>
      </c>
      <c r="F84" s="33" t="e">
        <f t="shared" ca="1" si="12"/>
        <v>#N/A</v>
      </c>
      <c r="G84" s="34">
        <f t="shared" ca="1" si="13"/>
        <v>49.317223908344147</v>
      </c>
      <c r="H84" s="34" t="str">
        <f t="shared" ca="1" si="14"/>
        <v/>
      </c>
    </row>
    <row r="85" spans="1:8">
      <c r="A85" s="32" t="s">
        <v>19</v>
      </c>
      <c r="B85" s="33">
        <f ca="1">IF(INDIRECT(ADDRESS(ROW(tabula_ikm!G$11),COLUMN(tabula_ikm!G$1)+ROW(tabula_ikm!G12),1,1,"tabula_ikm"))="","",INDIRECT(ADDRESS(ROW(tabula_ikm!G$11),COLUMN(tabula_ikm!G$1)+ROW(tabula_ikm!G12),1,1,"tabula_ikm")))</f>
        <v>120.89054799999985</v>
      </c>
      <c r="C85" s="33">
        <f ca="1">IF(INDIRECT(ADDRESS(ROW(tabula_ikm!G$11),COLUMN(tabula_ikm!G$1)+ROW(tabula_ikm!G12)+12,1,1,"tabula_ikm"))="","",INDIRECT(ADDRESS(ROW(tabula_ikm!G$11),COLUMN(tabula_ikm!G$1)+ROW(tabula_ikm!G12)+12,1,1,"tabula_ikm")))</f>
        <v>342.08847199999991</v>
      </c>
      <c r="D85" s="33" t="str">
        <f ca="1">IF(INDIRECT(ADDRESS(ROW(tabula_ikm!G$11),COLUMN(tabula_ikm!G$1)+ROW(tabula_ikm!G12)+24,1,1,"tabula_ikm"))="","",INDIRECT(ADDRESS(ROW(tabula_ikm!G$11),COLUMN(tabula_ikm!G$1)+ROW(tabula_ikm!G12)+24,1,1,"tabula_ikm")))</f>
        <v/>
      </c>
      <c r="E85" s="33">
        <f t="shared" ca="1" si="11"/>
        <v>182.97371271739155</v>
      </c>
      <c r="F85" s="33" t="e">
        <f t="shared" ca="1" si="12"/>
        <v>#N/A</v>
      </c>
      <c r="G85" s="34">
        <f t="shared" ca="1" si="13"/>
        <v>182.97371271739155</v>
      </c>
      <c r="H85" s="34" t="str">
        <f t="shared" ca="1" si="14"/>
        <v/>
      </c>
    </row>
    <row r="86" spans="1:8">
      <c r="A86" s="35" t="s">
        <v>21</v>
      </c>
      <c r="B86" s="36">
        <f ca="1">SUM(B74:B85)</f>
        <v>2762.4929609999999</v>
      </c>
      <c r="C86" s="36">
        <f ca="1">SUM(C74:C85)</f>
        <v>3558.6709609999998</v>
      </c>
      <c r="D86" s="36">
        <f ca="1">SUM(D74:D85)</f>
        <v>1351.846955</v>
      </c>
      <c r="E86" s="36">
        <f ca="1">IFERROR((C86/B86-1)*100,"")</f>
        <v>28.820996514387144</v>
      </c>
      <c r="F86" s="36">
        <f ca="1">IFERROR((D86/C86-1)*100,"")</f>
        <v>-62.012589255508857</v>
      </c>
      <c r="G86" s="36">
        <f t="shared" ca="1" si="13"/>
        <v>28.820996514387144</v>
      </c>
      <c r="H86" s="36">
        <f t="shared" ref="H86" ca="1" si="15">IFERROR((D86/C86-1)*100,"")</f>
        <v>-62.012589255508857</v>
      </c>
    </row>
    <row r="87" spans="1:8">
      <c r="A87" s="38"/>
      <c r="B87" s="39"/>
      <c r="C87" s="39"/>
      <c r="D87" s="39"/>
      <c r="E87" s="39"/>
      <c r="F87" s="39"/>
      <c r="G87" s="41"/>
      <c r="H87" s="41"/>
    </row>
    <row r="88" spans="1:8">
      <c r="A88" s="38"/>
      <c r="B88" s="39"/>
      <c r="C88" s="39"/>
      <c r="D88" s="39"/>
      <c r="E88" s="39"/>
      <c r="F88" s="39"/>
      <c r="G88" s="41"/>
      <c r="H88" s="41"/>
    </row>
    <row r="89" spans="1:8">
      <c r="A89" s="38"/>
      <c r="B89" s="39"/>
      <c r="C89" s="39"/>
      <c r="D89" s="39"/>
      <c r="E89" s="39"/>
      <c r="F89" s="39"/>
      <c r="G89" s="41"/>
      <c r="H89" s="41"/>
    </row>
    <row r="90" spans="1:8">
      <c r="A90" s="38"/>
      <c r="B90" s="39"/>
      <c r="C90" s="39"/>
      <c r="D90" s="39"/>
      <c r="E90" s="39"/>
      <c r="F90" s="39"/>
      <c r="G90" s="41"/>
      <c r="H90" s="41"/>
    </row>
    <row r="91" spans="1:8">
      <c r="A91" s="38"/>
      <c r="B91" s="39"/>
      <c r="C91" s="39"/>
      <c r="D91" s="39"/>
      <c r="E91" s="39"/>
      <c r="F91" s="39"/>
      <c r="G91" s="41"/>
      <c r="H91" s="41"/>
    </row>
    <row r="92" spans="1:8">
      <c r="A92" s="38"/>
      <c r="B92" s="39"/>
      <c r="C92" s="39"/>
      <c r="D92" s="39"/>
      <c r="E92" s="39"/>
      <c r="F92" s="39"/>
      <c r="G92" s="41"/>
      <c r="H92" s="41"/>
    </row>
    <row r="93" spans="1:8">
      <c r="A93" s="38"/>
      <c r="B93" s="39"/>
      <c r="C93" s="39"/>
      <c r="D93" s="39"/>
      <c r="E93" s="39"/>
      <c r="F93" s="39"/>
      <c r="G93" s="41"/>
      <c r="H93" s="41"/>
    </row>
    <row r="94" spans="1:8">
      <c r="A94" s="38"/>
      <c r="B94" s="39"/>
      <c r="C94" s="39"/>
      <c r="D94" s="39"/>
      <c r="E94" s="39"/>
      <c r="F94" s="39"/>
      <c r="G94" s="41"/>
      <c r="H94" s="41"/>
    </row>
    <row r="95" spans="1:8">
      <c r="A95" s="38"/>
      <c r="B95" s="39"/>
      <c r="C95" s="39"/>
      <c r="D95" s="39"/>
      <c r="E95" s="39"/>
      <c r="F95" s="39"/>
      <c r="G95" s="41"/>
      <c r="H95" s="41"/>
    </row>
    <row r="96" spans="1:8">
      <c r="A96" s="38"/>
      <c r="B96" s="39"/>
      <c r="C96" s="39"/>
      <c r="D96" s="39"/>
      <c r="E96" s="39"/>
      <c r="F96" s="39"/>
      <c r="G96" s="41"/>
      <c r="H96" s="41"/>
    </row>
    <row r="97" spans="1:10">
      <c r="A97" s="38"/>
      <c r="B97" s="39"/>
      <c r="C97" s="39"/>
      <c r="D97" s="39"/>
      <c r="E97" s="39"/>
      <c r="F97" s="39"/>
      <c r="G97" s="41"/>
      <c r="H97" s="41"/>
    </row>
    <row r="98" spans="1:10">
      <c r="A98" s="42"/>
      <c r="B98" s="39"/>
      <c r="C98" s="39"/>
      <c r="D98" s="39"/>
      <c r="E98" s="39"/>
      <c r="F98" s="39"/>
      <c r="G98" s="43"/>
      <c r="H98" s="43"/>
    </row>
    <row r="99" spans="1:10">
      <c r="A99" s="42"/>
      <c r="B99" s="39"/>
      <c r="C99" s="39"/>
      <c r="D99" s="39"/>
      <c r="E99" s="39"/>
      <c r="F99" s="39"/>
      <c r="G99" s="43"/>
      <c r="H99" s="43"/>
    </row>
    <row r="100" spans="1:10">
      <c r="A100" s="42"/>
      <c r="B100" s="39"/>
      <c r="C100" s="39"/>
      <c r="D100" s="39"/>
      <c r="E100" s="39"/>
      <c r="F100" s="39"/>
      <c r="G100" s="43"/>
      <c r="H100" s="43"/>
    </row>
    <row r="101" spans="1:10">
      <c r="A101" s="42"/>
      <c r="B101" s="39"/>
      <c r="C101" s="39"/>
      <c r="D101" s="39"/>
      <c r="E101" s="39"/>
      <c r="F101" s="39"/>
      <c r="G101" s="43"/>
      <c r="H101" s="43"/>
    </row>
    <row r="102" spans="1:10">
      <c r="A102" s="102" t="s">
        <v>1</v>
      </c>
      <c r="B102" s="103"/>
      <c r="C102" s="103"/>
      <c r="D102" s="103"/>
      <c r="E102" s="103"/>
      <c r="F102" s="103"/>
      <c r="G102" s="103"/>
      <c r="H102" s="104"/>
    </row>
    <row r="103" spans="1:10" s="3" customFormat="1" ht="15" customHeight="1">
      <c r="A103" s="26" t="s">
        <v>5</v>
      </c>
      <c r="B103" s="99" t="s">
        <v>177</v>
      </c>
      <c r="C103" s="101"/>
      <c r="D103" s="100"/>
      <c r="E103" s="99" t="s">
        <v>2</v>
      </c>
      <c r="F103" s="100"/>
      <c r="G103" s="99" t="s">
        <v>2</v>
      </c>
      <c r="H103" s="100"/>
      <c r="I103" s="6"/>
    </row>
    <row r="104" spans="1:10">
      <c r="A104" s="27">
        <v>1</v>
      </c>
      <c r="B104" s="28">
        <v>2</v>
      </c>
      <c r="C104" s="28">
        <v>3</v>
      </c>
      <c r="D104" s="28">
        <v>4</v>
      </c>
      <c r="E104" s="29" t="s">
        <v>71</v>
      </c>
      <c r="F104" s="29" t="s">
        <v>72</v>
      </c>
      <c r="G104" s="29" t="s">
        <v>71</v>
      </c>
      <c r="H104" s="29" t="s">
        <v>72</v>
      </c>
    </row>
    <row r="105" spans="1:10">
      <c r="A105" s="30"/>
      <c r="B105" s="28" t="s">
        <v>23</v>
      </c>
      <c r="C105" s="28" t="s">
        <v>6</v>
      </c>
      <c r="D105" s="28" t="s">
        <v>7</v>
      </c>
      <c r="E105" s="28" t="s">
        <v>6</v>
      </c>
      <c r="F105" s="28" t="s">
        <v>7</v>
      </c>
      <c r="G105" s="27" t="s">
        <v>6</v>
      </c>
      <c r="H105" s="27" t="s">
        <v>7</v>
      </c>
    </row>
    <row r="106" spans="1:10" ht="29">
      <c r="A106" s="31"/>
      <c r="B106" s="26">
        <v>2021</v>
      </c>
      <c r="C106" s="26">
        <v>2022</v>
      </c>
      <c r="D106" s="26">
        <v>2023</v>
      </c>
      <c r="E106" s="26" t="s">
        <v>74</v>
      </c>
      <c r="F106" s="26" t="s">
        <v>73</v>
      </c>
      <c r="G106" s="26" t="s">
        <v>162</v>
      </c>
      <c r="H106" s="26" t="s">
        <v>73</v>
      </c>
    </row>
    <row r="107" spans="1:10">
      <c r="A107" s="32" t="s">
        <v>8</v>
      </c>
      <c r="B107" s="33">
        <f ca="1">IF(INDIRECT(ADDRESS(ROW(tabula_ikm!G$12),COLUMN(tabula_ikm!G$1)+ROW(tabula_ikm!G1),1,1,"tabula_ikm"))="","",INDIRECT(ADDRESS(ROW(tabula_ikm!G$12),COLUMN(tabula_ikm!G$1)+ROW(tabula_ikm!G1),1,1,"tabula_ikm")))</f>
        <v>88.145899</v>
      </c>
      <c r="C107" s="33">
        <f ca="1">IF(INDIRECT(ADDRESS(ROW(tabula_ikm!G$12),COLUMN(tabula_ikm!G$1)+ROW(tabula_ikm!G1)+12,1,1,"tabula_ikm"))="","",INDIRECT(ADDRESS(ROW(tabula_ikm!G$12),COLUMN(tabula_ikm!G$1)+ROW(tabula_ikm!G1)+12,1,1,"tabula_ikm")))</f>
        <v>94.489587</v>
      </c>
      <c r="D107" s="33">
        <f ca="1">IF(INDIRECT(ADDRESS(ROW(tabula_ikm!G$12),COLUMN(tabula_ikm!G$1)+ROW(tabula_ikm!G1)+24,1,1,"tabula_ikm"))="","",INDIRECT(ADDRESS(ROW(tabula_ikm!G$12),COLUMN(tabula_ikm!G$1)+ROW(tabula_ikm!G1)+24,1,1,"tabula_ikm")))</f>
        <v>101.657421</v>
      </c>
      <c r="E107" s="33">
        <f ca="1">IFERROR((C107/B107-1)*100,NA())</f>
        <v>7.1968044707332313</v>
      </c>
      <c r="F107" s="33">
        <f ca="1">IFERROR((D107/C107-1)*100,NA())</f>
        <v>7.5858454117277541</v>
      </c>
      <c r="G107" s="34">
        <f ca="1">IFERROR((C107/B107-1)*100,"")</f>
        <v>7.1968044707332313</v>
      </c>
      <c r="H107" s="34">
        <f ca="1">IFERROR((D107/C107-1)*100,"")</f>
        <v>7.5858454117277541</v>
      </c>
    </row>
    <row r="108" spans="1:10">
      <c r="A108" s="32" t="s">
        <v>9</v>
      </c>
      <c r="B108" s="33">
        <f ca="1">IF(INDIRECT(ADDRESS(ROW(tabula_ikm!G$12),COLUMN(tabula_ikm!G$1)+ROW(tabula_ikm!G2),1,1,"tabula_ikm"))="","",INDIRECT(ADDRESS(ROW(tabula_ikm!G$12),COLUMN(tabula_ikm!G$1)+ROW(tabula_ikm!G2),1,1,"tabula_ikm")))</f>
        <v>75.317370999999994</v>
      </c>
      <c r="C108" s="33">
        <f ca="1">IF(INDIRECT(ADDRESS(ROW(tabula_ikm!G$12),COLUMN(tabula_ikm!G$1)+ROW(tabula_ikm!G2)+12,1,1,"tabula_ikm"))="","",INDIRECT(ADDRESS(ROW(tabula_ikm!G$12),COLUMN(tabula_ikm!G$1)+ROW(tabula_ikm!G2)+12,1,1,"tabula_ikm")))</f>
        <v>85.432088999999991</v>
      </c>
      <c r="D108" s="33">
        <f ca="1">IF(INDIRECT(ADDRESS(ROW(tabula_ikm!G$12),COLUMN(tabula_ikm!G$1)+ROW(tabula_ikm!G2)+24,1,1,"tabula_ikm"))="","",INDIRECT(ADDRESS(ROW(tabula_ikm!G$12),COLUMN(tabula_ikm!G$1)+ROW(tabula_ikm!G2)+24,1,1,"tabula_ikm")))</f>
        <v>85.200087999999994</v>
      </c>
      <c r="E108" s="33">
        <f t="shared" ref="E108:E118" ca="1" si="16">IFERROR((C108/B108-1)*100,NA())</f>
        <v>13.429462374622702</v>
      </c>
      <c r="F108" s="33">
        <f t="shared" ref="F108:F118" ca="1" si="17">IFERROR((D108/C108-1)*100,NA())</f>
        <v>-0.27156189520309848</v>
      </c>
      <c r="G108" s="34">
        <f t="shared" ref="G108:G119" ca="1" si="18">IFERROR((C108/B108-1)*100,"")</f>
        <v>13.429462374622702</v>
      </c>
      <c r="H108" s="34">
        <f t="shared" ref="H108:H118" ca="1" si="19">IFERROR((D108/C108-1)*100,"")</f>
        <v>-0.27156189520309848</v>
      </c>
    </row>
    <row r="109" spans="1:10">
      <c r="A109" s="32" t="s">
        <v>10</v>
      </c>
      <c r="B109" s="33">
        <f ca="1">IF(INDIRECT(ADDRESS(ROW(tabula_ikm!G$12),COLUMN(tabula_ikm!G$1)+ROW(tabula_ikm!G3),1,1,"tabula_ikm"))="","",INDIRECT(ADDRESS(ROW(tabula_ikm!G$12),COLUMN(tabula_ikm!G$1)+ROW(tabula_ikm!G3),1,1,"tabula_ikm")))</f>
        <v>75.639573000000013</v>
      </c>
      <c r="C109" s="33">
        <f ca="1">IF(INDIRECT(ADDRESS(ROW(tabula_ikm!G$12),COLUMN(tabula_ikm!G$1)+ROW(tabula_ikm!G3)+12,1,1,"tabula_ikm"))="","",INDIRECT(ADDRESS(ROW(tabula_ikm!G$12),COLUMN(tabula_ikm!G$1)+ROW(tabula_ikm!G3)+12,1,1,"tabula_ikm")))</f>
        <v>83.467417000000012</v>
      </c>
      <c r="D109" s="33">
        <f ca="1">IF(INDIRECT(ADDRESS(ROW(tabula_ikm!G$12),COLUMN(tabula_ikm!G$1)+ROW(tabula_ikm!G3)+24,1,1,"tabula_ikm"))="","",INDIRECT(ADDRESS(ROW(tabula_ikm!G$12),COLUMN(tabula_ikm!G$1)+ROW(tabula_ikm!G3)+24,1,1,"tabula_ikm")))</f>
        <v>92.239321000000018</v>
      </c>
      <c r="E109" s="33">
        <f t="shared" ca="1" si="16"/>
        <v>10.348873862627439</v>
      </c>
      <c r="F109" s="33">
        <f t="shared" ca="1" si="17"/>
        <v>10.509375173308655</v>
      </c>
      <c r="G109" s="34">
        <f t="shared" ca="1" si="18"/>
        <v>10.348873862627439</v>
      </c>
      <c r="H109" s="89">
        <f t="shared" ca="1" si="19"/>
        <v>10.509375173308655</v>
      </c>
    </row>
    <row r="110" spans="1:10">
      <c r="A110" s="32" t="s">
        <v>11</v>
      </c>
      <c r="B110" s="33">
        <f ca="1">IF(INDIRECT(ADDRESS(ROW(tabula_ikm!G$12),COLUMN(tabula_ikm!G$1)+ROW(tabula_ikm!G4),1,1,"tabula_ikm"))="","",INDIRECT(ADDRESS(ROW(tabula_ikm!G$12),COLUMN(tabula_ikm!G$1)+ROW(tabula_ikm!G4),1,1,"tabula_ikm")))</f>
        <v>97.130312000000004</v>
      </c>
      <c r="C110" s="33">
        <f ca="1">IF(INDIRECT(ADDRESS(ROW(tabula_ikm!G$12),COLUMN(tabula_ikm!G$1)+ROW(tabula_ikm!G4)+12,1,1,"tabula_ikm"))="","",INDIRECT(ADDRESS(ROW(tabula_ikm!G$12),COLUMN(tabula_ikm!G$1)+ROW(tabula_ikm!G4)+12,1,1,"tabula_ikm")))</f>
        <v>94.762113999999997</v>
      </c>
      <c r="D110" s="33">
        <f ca="1">IF(INDIRECT(ADDRESS(ROW(tabula_ikm!G$12),COLUMN(tabula_ikm!G$1)+ROW(tabula_ikm!G4)+24,1,1,"tabula_ikm"))="","",INDIRECT(ADDRESS(ROW(tabula_ikm!G$12),COLUMN(tabula_ikm!G$1)+ROW(tabula_ikm!G4)+24,1,1,"tabula_ikm")))</f>
        <v>93.143621999999993</v>
      </c>
      <c r="E110" s="33">
        <f t="shared" ca="1" si="16"/>
        <v>-2.4381657499463305</v>
      </c>
      <c r="F110" s="33">
        <f t="shared" ca="1" si="17"/>
        <v>-1.707952610681529</v>
      </c>
      <c r="G110" s="34">
        <f t="shared" ca="1" si="18"/>
        <v>-2.4381657499463305</v>
      </c>
      <c r="H110" s="34">
        <f t="shared" ca="1" si="19"/>
        <v>-1.707952610681529</v>
      </c>
      <c r="J110" s="14"/>
    </row>
    <row r="111" spans="1:10">
      <c r="A111" s="32" t="s">
        <v>12</v>
      </c>
      <c r="B111" s="33">
        <f ca="1">IF(INDIRECT(ADDRESS(ROW(tabula_ikm!G$12),COLUMN(tabula_ikm!G$1)+ROW(tabula_ikm!G5),1,1,"tabula_ikm"))="","",INDIRECT(ADDRESS(ROW(tabula_ikm!G$12),COLUMN(tabula_ikm!G$1)+ROW(tabula_ikm!G5),1,1,"tabula_ikm")))</f>
        <v>82.140082000000007</v>
      </c>
      <c r="C111" s="33">
        <f ca="1">IF(INDIRECT(ADDRESS(ROW(tabula_ikm!G$12),COLUMN(tabula_ikm!G$1)+ROW(tabula_ikm!G5)+12,1,1,"tabula_ikm"))="","",INDIRECT(ADDRESS(ROW(tabula_ikm!G$12),COLUMN(tabula_ikm!G$1)+ROW(tabula_ikm!G5)+12,1,1,"tabula_ikm")))</f>
        <v>89.708789000000024</v>
      </c>
      <c r="D111" s="33" t="str">
        <f ca="1">IF(INDIRECT(ADDRESS(ROW(tabula_ikm!G$12),COLUMN(tabula_ikm!G$1)+ROW(tabula_ikm!G5)+24,1,1,"tabula_ikm"))="","",INDIRECT(ADDRESS(ROW(tabula_ikm!G$12),COLUMN(tabula_ikm!G$1)+ROW(tabula_ikm!G5)+24,1,1,"tabula_ikm")))</f>
        <v/>
      </c>
      <c r="E111" s="33">
        <f t="shared" ca="1" si="16"/>
        <v>9.2143893890926698</v>
      </c>
      <c r="F111" s="33" t="e">
        <f t="shared" ca="1" si="17"/>
        <v>#N/A</v>
      </c>
      <c r="G111" s="34">
        <f t="shared" ca="1" si="18"/>
        <v>9.2143893890926698</v>
      </c>
      <c r="H111" s="34" t="str">
        <f t="shared" ca="1" si="19"/>
        <v/>
      </c>
    </row>
    <row r="112" spans="1:10">
      <c r="A112" s="32" t="s">
        <v>13</v>
      </c>
      <c r="B112" s="33">
        <f ca="1">IF(INDIRECT(ADDRESS(ROW(tabula_ikm!G$12),COLUMN(tabula_ikm!G$1)+ROW(tabula_ikm!G6),1,1,"tabula_ikm"))="","",INDIRECT(ADDRESS(ROW(tabula_ikm!G$12),COLUMN(tabula_ikm!G$1)+ROW(tabula_ikm!G6),1,1,"tabula_ikm")))</f>
        <v>94.391854999999964</v>
      </c>
      <c r="C112" s="33">
        <f ca="1">IF(INDIRECT(ADDRESS(ROW(tabula_ikm!G$12),COLUMN(tabula_ikm!G$1)+ROW(tabula_ikm!G6)+12,1,1,"tabula_ikm"))="","",INDIRECT(ADDRESS(ROW(tabula_ikm!G$12),COLUMN(tabula_ikm!G$1)+ROW(tabula_ikm!G6)+12,1,1,"tabula_ikm")))</f>
        <v>99.295792000000006</v>
      </c>
      <c r="D112" s="33" t="str">
        <f ca="1">IF(INDIRECT(ADDRESS(ROW(tabula_ikm!G$12),COLUMN(tabula_ikm!G$1)+ROW(tabula_ikm!G6)+24,1,1,"tabula_ikm"))="","",INDIRECT(ADDRESS(ROW(tabula_ikm!G$12),COLUMN(tabula_ikm!G$1)+ROW(tabula_ikm!G6)+24,1,1,"tabula_ikm")))</f>
        <v/>
      </c>
      <c r="E112" s="33">
        <f t="shared" ca="1" si="16"/>
        <v>5.1952967764009372</v>
      </c>
      <c r="F112" s="33" t="e">
        <f t="shared" ca="1" si="17"/>
        <v>#N/A</v>
      </c>
      <c r="G112" s="34">
        <f t="shared" ca="1" si="18"/>
        <v>5.1952967764009372</v>
      </c>
      <c r="H112" s="34" t="str">
        <f t="shared" ca="1" si="19"/>
        <v/>
      </c>
    </row>
    <row r="113" spans="1:8">
      <c r="A113" s="32" t="s">
        <v>14</v>
      </c>
      <c r="B113" s="33">
        <f ca="1">IF(INDIRECT(ADDRESS(ROW(tabula_ikm!G$12),COLUMN(tabula_ikm!G$1)+ROW(tabula_ikm!G7),1,1,"tabula_ikm"))="","",INDIRECT(ADDRESS(ROW(tabula_ikm!G$12),COLUMN(tabula_ikm!G$1)+ROW(tabula_ikm!G7),1,1,"tabula_ikm")))</f>
        <v>105.34232800000007</v>
      </c>
      <c r="C113" s="33">
        <f ca="1">IF(INDIRECT(ADDRESS(ROW(tabula_ikm!G$12),COLUMN(tabula_ikm!G$1)+ROW(tabula_ikm!G7)+12,1,1,"tabula_ikm"))="","",INDIRECT(ADDRESS(ROW(tabula_ikm!G$12),COLUMN(tabula_ikm!G$1)+ROW(tabula_ikm!G7)+12,1,1,"tabula_ikm")))</f>
        <v>97.606663000000026</v>
      </c>
      <c r="D113" s="33" t="str">
        <f ca="1">IF(INDIRECT(ADDRESS(ROW(tabula_ikm!G$12),COLUMN(tabula_ikm!G$1)+ROW(tabula_ikm!G7)+24,1,1,"tabula_ikm"))="","",INDIRECT(ADDRESS(ROW(tabula_ikm!G$12),COLUMN(tabula_ikm!G$1)+ROW(tabula_ikm!G7)+24,1,1,"tabula_ikm")))</f>
        <v/>
      </c>
      <c r="E113" s="33">
        <f t="shared" ca="1" si="16"/>
        <v>-7.3433586924337106</v>
      </c>
      <c r="F113" s="33" t="e">
        <f t="shared" ca="1" si="17"/>
        <v>#N/A</v>
      </c>
      <c r="G113" s="34">
        <f t="shared" ca="1" si="18"/>
        <v>-7.3433586924337106</v>
      </c>
      <c r="H113" s="34" t="str">
        <f t="shared" ca="1" si="19"/>
        <v/>
      </c>
    </row>
    <row r="114" spans="1:8">
      <c r="A114" s="32" t="s">
        <v>15</v>
      </c>
      <c r="B114" s="33">
        <f ca="1">IF(INDIRECT(ADDRESS(ROW(tabula_ikm!G$12),COLUMN(tabula_ikm!G$1)+ROW(tabula_ikm!G8),1,1,"tabula_ikm"))="","",INDIRECT(ADDRESS(ROW(tabula_ikm!G$12),COLUMN(tabula_ikm!G$1)+ROW(tabula_ikm!G8),1,1,"tabula_ikm")))</f>
        <v>106.11534499999993</v>
      </c>
      <c r="C114" s="33">
        <f ca="1">IF(INDIRECT(ADDRESS(ROW(tabula_ikm!G$12),COLUMN(tabula_ikm!G$1)+ROW(tabula_ikm!G8)+12,1,1,"tabula_ikm"))="","",INDIRECT(ADDRESS(ROW(tabula_ikm!G$12),COLUMN(tabula_ikm!G$1)+ROW(tabula_ikm!G8)+12,1,1,"tabula_ikm")))</f>
        <v>99.319585999999958</v>
      </c>
      <c r="D114" s="33" t="str">
        <f ca="1">IF(INDIRECT(ADDRESS(ROW(tabula_ikm!G$12),COLUMN(tabula_ikm!G$1)+ROW(tabula_ikm!G8)+24,1,1,"tabula_ikm"))="","",INDIRECT(ADDRESS(ROW(tabula_ikm!G$12),COLUMN(tabula_ikm!G$1)+ROW(tabula_ikm!G8)+24,1,1,"tabula_ikm")))</f>
        <v/>
      </c>
      <c r="E114" s="33">
        <f t="shared" ca="1" si="16"/>
        <v>-6.4041246814963255</v>
      </c>
      <c r="F114" s="33" t="e">
        <f t="shared" ca="1" si="17"/>
        <v>#N/A</v>
      </c>
      <c r="G114" s="34">
        <f t="shared" ca="1" si="18"/>
        <v>-6.4041246814963255</v>
      </c>
      <c r="H114" s="34" t="str">
        <f t="shared" ca="1" si="19"/>
        <v/>
      </c>
    </row>
    <row r="115" spans="1:8">
      <c r="A115" s="32" t="s">
        <v>16</v>
      </c>
      <c r="B115" s="33">
        <f ca="1">IF(INDIRECT(ADDRESS(ROW(tabula_ikm!G$12),COLUMN(tabula_ikm!G$1)+ROW(tabula_ikm!G9),1,1,"tabula_ikm"))="","",INDIRECT(ADDRESS(ROW(tabula_ikm!G$12),COLUMN(tabula_ikm!G$1)+ROW(tabula_ikm!G9),1,1,"tabula_ikm")))</f>
        <v>98.114017999999987</v>
      </c>
      <c r="C115" s="33">
        <f ca="1">IF(INDIRECT(ADDRESS(ROW(tabula_ikm!G$12),COLUMN(tabula_ikm!G$1)+ROW(tabula_ikm!G9)+12,1,1,"tabula_ikm"))="","",INDIRECT(ADDRESS(ROW(tabula_ikm!G$12),COLUMN(tabula_ikm!G$1)+ROW(tabula_ikm!G9)+12,1,1,"tabula_ikm")))</f>
        <v>108.36951199999999</v>
      </c>
      <c r="D115" s="33" t="str">
        <f ca="1">IF(INDIRECT(ADDRESS(ROW(tabula_ikm!G$12),COLUMN(tabula_ikm!G$1)+ROW(tabula_ikm!G9)+24,1,1,"tabula_ikm"))="","",INDIRECT(ADDRESS(ROW(tabula_ikm!G$12),COLUMN(tabula_ikm!G$1)+ROW(tabula_ikm!G9)+24,1,1,"tabula_ikm")))</f>
        <v/>
      </c>
      <c r="E115" s="33">
        <f t="shared" ca="1" si="16"/>
        <v>10.452628695728272</v>
      </c>
      <c r="F115" s="33" t="e">
        <f t="shared" ca="1" si="17"/>
        <v>#N/A</v>
      </c>
      <c r="G115" s="34">
        <f t="shared" ca="1" si="18"/>
        <v>10.452628695728272</v>
      </c>
      <c r="H115" s="34" t="str">
        <f t="shared" ca="1" si="19"/>
        <v/>
      </c>
    </row>
    <row r="116" spans="1:8">
      <c r="A116" s="32" t="s">
        <v>17</v>
      </c>
      <c r="B116" s="33">
        <f ca="1">IF(INDIRECT(ADDRESS(ROW(tabula_ikm!G$12),COLUMN(tabula_ikm!G$1)+ROW(tabula_ikm!G10),1,1,"tabula_ikm"))="","",INDIRECT(ADDRESS(ROW(tabula_ikm!G$12),COLUMN(tabula_ikm!G$1)+ROW(tabula_ikm!G10),1,1,"tabula_ikm")))</f>
        <v>96.822309000000018</v>
      </c>
      <c r="C116" s="33">
        <f ca="1">IF(INDIRECT(ADDRESS(ROW(tabula_ikm!G$12),COLUMN(tabula_ikm!G$1)+ROW(tabula_ikm!G10)+12,1,1,"tabula_ikm"))="","",INDIRECT(ADDRESS(ROW(tabula_ikm!G$12),COLUMN(tabula_ikm!G$1)+ROW(tabula_ikm!G10)+12,1,1,"tabula_ikm")))</f>
        <v>96.951422999999977</v>
      </c>
      <c r="D116" s="33" t="str">
        <f ca="1">IF(INDIRECT(ADDRESS(ROW(tabula_ikm!G$12),COLUMN(tabula_ikm!G$1)+ROW(tabula_ikm!G10)+24,1,1,"tabula_ikm"))="","",INDIRECT(ADDRESS(ROW(tabula_ikm!G$12),COLUMN(tabula_ikm!G$1)+ROW(tabula_ikm!G10)+24,1,1,"tabula_ikm")))</f>
        <v/>
      </c>
      <c r="E116" s="33">
        <f t="shared" ca="1" si="16"/>
        <v>0.13335149856832373</v>
      </c>
      <c r="F116" s="33" t="e">
        <f t="shared" ca="1" si="17"/>
        <v>#N/A</v>
      </c>
      <c r="G116" s="34">
        <f t="shared" ca="1" si="18"/>
        <v>0.13335149856832373</v>
      </c>
      <c r="H116" s="34" t="str">
        <f t="shared" ca="1" si="19"/>
        <v/>
      </c>
    </row>
    <row r="117" spans="1:8">
      <c r="A117" s="32" t="s">
        <v>18</v>
      </c>
      <c r="B117" s="33">
        <f ca="1">IF(INDIRECT(ADDRESS(ROW(tabula_ikm!G$12),COLUMN(tabula_ikm!G$1)+ROW(tabula_ikm!G11),1,1,"tabula_ikm"))="","",INDIRECT(ADDRESS(ROW(tabula_ikm!G$12),COLUMN(tabula_ikm!G$1)+ROW(tabula_ikm!G11),1,1,"tabula_ikm")))</f>
        <v>87.558834000000047</v>
      </c>
      <c r="C117" s="33">
        <f ca="1">IF(INDIRECT(ADDRESS(ROW(tabula_ikm!G$12),COLUMN(tabula_ikm!G$1)+ROW(tabula_ikm!G11)+12,1,1,"tabula_ikm"))="","",INDIRECT(ADDRESS(ROW(tabula_ikm!G$12),COLUMN(tabula_ikm!G$1)+ROW(tabula_ikm!G11)+12,1,1,"tabula_ikm")))</f>
        <v>96.244254999999953</v>
      </c>
      <c r="D117" s="33" t="str">
        <f ca="1">IF(INDIRECT(ADDRESS(ROW(tabula_ikm!G$12),COLUMN(tabula_ikm!G$1)+ROW(tabula_ikm!G11)+24,1,1,"tabula_ikm"))="","",INDIRECT(ADDRESS(ROW(tabula_ikm!G$12),COLUMN(tabula_ikm!G$1)+ROW(tabula_ikm!G11)+24,1,1,"tabula_ikm")))</f>
        <v/>
      </c>
      <c r="E117" s="33">
        <f t="shared" ca="1" si="16"/>
        <v>9.9195256528883178</v>
      </c>
      <c r="F117" s="33" t="e">
        <f t="shared" ca="1" si="17"/>
        <v>#N/A</v>
      </c>
      <c r="G117" s="34">
        <f t="shared" ca="1" si="18"/>
        <v>9.9195256528883178</v>
      </c>
      <c r="H117" s="34" t="str">
        <f t="shared" ca="1" si="19"/>
        <v/>
      </c>
    </row>
    <row r="118" spans="1:8">
      <c r="A118" s="32" t="s">
        <v>19</v>
      </c>
      <c r="B118" s="33">
        <f ca="1">IF(INDIRECT(ADDRESS(ROW(tabula_ikm!G$12),COLUMN(tabula_ikm!G$1)+ROW(tabula_ikm!G12),1,1,"tabula_ikm"))="","",INDIRECT(ADDRESS(ROW(tabula_ikm!G$12),COLUMN(tabula_ikm!G$1)+ROW(tabula_ikm!G12),1,1,"tabula_ikm")))</f>
        <v>98.122540000000072</v>
      </c>
      <c r="C118" s="33">
        <f ca="1">IF(INDIRECT(ADDRESS(ROW(tabula_ikm!G$12),COLUMN(tabula_ikm!G$1)+ROW(tabula_ikm!G12)+12,1,1,"tabula_ikm"))="","",INDIRECT(ADDRESS(ROW(tabula_ikm!G$12),COLUMN(tabula_ikm!G$1)+ROW(tabula_ikm!G12)+12,1,1,"tabula_ikm")))</f>
        <v>85.386054000000058</v>
      </c>
      <c r="D118" s="33" t="str">
        <f ca="1">IF(INDIRECT(ADDRESS(ROW(tabula_ikm!G$12),COLUMN(tabula_ikm!G$1)+ROW(tabula_ikm!G12)+24,1,1,"tabula_ikm"))="","",INDIRECT(ADDRESS(ROW(tabula_ikm!G$12),COLUMN(tabula_ikm!G$1)+ROW(tabula_ikm!G12)+24,1,1,"tabula_ikm")))</f>
        <v/>
      </c>
      <c r="E118" s="33">
        <f t="shared" ca="1" si="16"/>
        <v>-12.980183757982623</v>
      </c>
      <c r="F118" s="33" t="e">
        <f t="shared" ca="1" si="17"/>
        <v>#N/A</v>
      </c>
      <c r="G118" s="34">
        <f t="shared" ca="1" si="18"/>
        <v>-12.980183757982623</v>
      </c>
      <c r="H118" s="34" t="str">
        <f t="shared" ca="1" si="19"/>
        <v/>
      </c>
    </row>
    <row r="119" spans="1:8">
      <c r="A119" s="35" t="s">
        <v>21</v>
      </c>
      <c r="B119" s="36">
        <f ca="1">SUM(B107:B118)</f>
        <v>1104.8404660000001</v>
      </c>
      <c r="C119" s="36">
        <f ca="1">SUM(C107:C118)</f>
        <v>1131.033281</v>
      </c>
      <c r="D119" s="36">
        <f ca="1">SUM(D107:D118)</f>
        <v>372.240452</v>
      </c>
      <c r="E119" s="36">
        <f ca="1">IFERROR((C119/B119-1)*100,"")</f>
        <v>2.37073277147688</v>
      </c>
      <c r="F119" s="36">
        <f ca="1">IFERROR((D119/C119-1)*100,"")</f>
        <v>-67.088461652438326</v>
      </c>
      <c r="G119" s="36">
        <f t="shared" ca="1" si="18"/>
        <v>2.37073277147688</v>
      </c>
      <c r="H119" s="36">
        <f t="shared" ref="H119" ca="1" si="20">IFERROR((D119/C119-1)*100,"")</f>
        <v>-67.088461652438326</v>
      </c>
    </row>
    <row r="120" spans="1:8">
      <c r="A120" s="42"/>
      <c r="B120" s="39"/>
      <c r="C120" s="39"/>
      <c r="D120" s="39"/>
      <c r="E120" s="39"/>
      <c r="F120" s="39"/>
      <c r="G120" s="43"/>
      <c r="H120" s="43"/>
    </row>
    <row r="121" spans="1:8">
      <c r="A121" s="42"/>
      <c r="B121" s="39"/>
      <c r="C121" s="39"/>
      <c r="D121" s="39"/>
      <c r="E121" s="39"/>
      <c r="F121" s="39"/>
      <c r="G121" s="43"/>
      <c r="H121" s="43"/>
    </row>
    <row r="122" spans="1:8">
      <c r="A122" s="42"/>
      <c r="B122" s="39"/>
      <c r="C122" s="39"/>
      <c r="D122" s="39"/>
      <c r="E122" s="39"/>
      <c r="F122" s="39"/>
      <c r="G122" s="43"/>
      <c r="H122" s="43"/>
    </row>
    <row r="123" spans="1:8">
      <c r="A123" s="42"/>
      <c r="B123" s="39"/>
      <c r="C123" s="39"/>
      <c r="D123" s="39"/>
      <c r="E123" s="39"/>
      <c r="F123" s="39"/>
      <c r="G123" s="43"/>
      <c r="H123" s="43"/>
    </row>
    <row r="124" spans="1:8">
      <c r="A124" s="42"/>
      <c r="B124" s="39"/>
      <c r="C124" s="39"/>
      <c r="D124" s="39"/>
      <c r="E124" s="39"/>
      <c r="F124" s="39"/>
      <c r="G124" s="43"/>
      <c r="H124" s="43"/>
    </row>
    <row r="125" spans="1:8">
      <c r="A125" s="42"/>
      <c r="B125" s="39"/>
      <c r="C125" s="39"/>
      <c r="D125" s="39"/>
      <c r="E125" s="39"/>
      <c r="F125" s="39"/>
      <c r="G125" s="43"/>
      <c r="H125" s="43"/>
    </row>
    <row r="126" spans="1:8">
      <c r="A126" s="42"/>
      <c r="B126" s="39"/>
      <c r="C126" s="39"/>
      <c r="D126" s="39"/>
      <c r="E126" s="39"/>
      <c r="F126" s="39"/>
      <c r="G126" s="43"/>
      <c r="H126" s="43"/>
    </row>
    <row r="127" spans="1:8">
      <c r="A127" s="42"/>
      <c r="B127" s="39"/>
      <c r="C127" s="39"/>
      <c r="D127" s="39"/>
      <c r="E127" s="39"/>
      <c r="F127" s="39"/>
      <c r="G127" s="43"/>
      <c r="H127" s="43"/>
    </row>
    <row r="128" spans="1:8">
      <c r="A128" s="42"/>
      <c r="B128" s="39"/>
      <c r="C128" s="39"/>
      <c r="D128" s="39"/>
      <c r="E128" s="39"/>
      <c r="F128" s="39"/>
      <c r="G128" s="43"/>
      <c r="H128" s="43"/>
    </row>
    <row r="129" spans="1:10">
      <c r="A129" s="42"/>
      <c r="B129" s="39"/>
      <c r="C129" s="39"/>
      <c r="D129" s="39"/>
      <c r="E129" s="39"/>
      <c r="F129" s="39"/>
      <c r="G129" s="43"/>
      <c r="H129" s="43"/>
    </row>
    <row r="130" spans="1:10">
      <c r="A130" s="42"/>
      <c r="B130" s="39"/>
      <c r="C130" s="39"/>
      <c r="D130" s="39"/>
      <c r="E130" s="39"/>
      <c r="F130" s="39"/>
      <c r="G130" s="43"/>
      <c r="H130" s="43"/>
    </row>
    <row r="131" spans="1:10">
      <c r="A131" s="42"/>
      <c r="B131" s="39"/>
      <c r="C131" s="39"/>
      <c r="D131" s="39"/>
      <c r="E131" s="39"/>
      <c r="F131" s="39"/>
      <c r="G131" s="43"/>
      <c r="H131" s="43"/>
    </row>
    <row r="132" spans="1:10">
      <c r="A132" s="42"/>
      <c r="B132" s="39"/>
      <c r="C132" s="39"/>
      <c r="D132" s="39"/>
      <c r="E132" s="39"/>
      <c r="F132" s="39"/>
      <c r="G132" s="43"/>
      <c r="H132" s="43"/>
    </row>
    <row r="133" spans="1:10">
      <c r="A133" s="42"/>
      <c r="B133" s="39"/>
      <c r="C133" s="39"/>
      <c r="D133" s="39"/>
      <c r="E133" s="39"/>
      <c r="F133" s="39"/>
      <c r="G133" s="43"/>
      <c r="H133" s="43"/>
    </row>
    <row r="134" spans="1:10">
      <c r="A134" s="42"/>
      <c r="B134" s="39"/>
      <c r="C134" s="39"/>
      <c r="D134" s="39"/>
      <c r="E134" s="39"/>
      <c r="F134" s="39"/>
      <c r="G134" s="43"/>
      <c r="H134" s="43"/>
    </row>
    <row r="135" spans="1:10">
      <c r="A135" s="102" t="s">
        <v>20</v>
      </c>
      <c r="B135" s="103"/>
      <c r="C135" s="103"/>
      <c r="D135" s="103"/>
      <c r="E135" s="103"/>
      <c r="F135" s="103"/>
      <c r="G135" s="103"/>
      <c r="H135" s="104"/>
    </row>
    <row r="136" spans="1:10" ht="15" customHeight="1">
      <c r="A136" s="26" t="s">
        <v>5</v>
      </c>
      <c r="B136" s="99" t="s">
        <v>177</v>
      </c>
      <c r="C136" s="101"/>
      <c r="D136" s="100"/>
      <c r="E136" s="99" t="s">
        <v>2</v>
      </c>
      <c r="F136" s="100"/>
      <c r="G136" s="99" t="s">
        <v>2</v>
      </c>
      <c r="H136" s="100"/>
    </row>
    <row r="137" spans="1:10">
      <c r="A137" s="27">
        <v>1</v>
      </c>
      <c r="B137" s="28">
        <v>2</v>
      </c>
      <c r="C137" s="28">
        <v>3</v>
      </c>
      <c r="D137" s="28">
        <v>4</v>
      </c>
      <c r="E137" s="29" t="s">
        <v>71</v>
      </c>
      <c r="F137" s="29" t="s">
        <v>72</v>
      </c>
      <c r="G137" s="29" t="s">
        <v>71</v>
      </c>
      <c r="H137" s="29" t="s">
        <v>72</v>
      </c>
    </row>
    <row r="138" spans="1:10">
      <c r="A138" s="30"/>
      <c r="B138" s="28" t="s">
        <v>23</v>
      </c>
      <c r="C138" s="28" t="s">
        <v>6</v>
      </c>
      <c r="D138" s="28" t="s">
        <v>7</v>
      </c>
      <c r="E138" s="28" t="s">
        <v>6</v>
      </c>
      <c r="F138" s="28" t="s">
        <v>7</v>
      </c>
      <c r="G138" s="27" t="s">
        <v>6</v>
      </c>
      <c r="H138" s="27" t="s">
        <v>7</v>
      </c>
    </row>
    <row r="139" spans="1:10" ht="29">
      <c r="A139" s="31"/>
      <c r="B139" s="26">
        <v>2021</v>
      </c>
      <c r="C139" s="26">
        <v>2022</v>
      </c>
      <c r="D139" s="26">
        <v>2023</v>
      </c>
      <c r="E139" s="26" t="s">
        <v>74</v>
      </c>
      <c r="F139" s="26" t="s">
        <v>73</v>
      </c>
      <c r="G139" s="26" t="s">
        <v>162</v>
      </c>
      <c r="H139" s="26" t="s">
        <v>73</v>
      </c>
    </row>
    <row r="140" spans="1:10">
      <c r="A140" s="32" t="s">
        <v>8</v>
      </c>
      <c r="B140" s="33">
        <f ca="1">IF(INDIRECT(ADDRESS(ROW(tabula_ikm!G$5),COLUMN(tabula_ikm!G$1)+ROW(tabula_ikm!G1),1,1,"tabula_ikm"))="","",INDIRECT(ADDRESS(ROW(tabula_ikm!G$5),COLUMN(tabula_ikm!G$1)+ROW(tabula_ikm!G1),1,1,"tabula_ikm")))</f>
        <v>150.693296</v>
      </c>
      <c r="C140" s="33">
        <f ca="1">IF(INDIRECT(ADDRESS(ROW(tabula_ikm!G$5),COLUMN(tabula_ikm!G$1)+ROW(tabula_ikm!G1)+12,1,1,"tabula_ikm"))="","",INDIRECT(ADDRESS(ROW(tabula_ikm!G$5),COLUMN(tabula_ikm!G$1)+ROW(tabula_ikm!G1)+12,1,1,"tabula_ikm")))</f>
        <v>230.248965</v>
      </c>
      <c r="D140" s="33">
        <f ca="1">IF(INDIRECT(ADDRESS(ROW(tabula_ikm!G$5),COLUMN(tabula_ikm!G$1)+ROW(tabula_ikm!G1)+24,1,1,"tabula_ikm"))="","",INDIRECT(ADDRESS(ROW(tabula_ikm!G$5),COLUMN(tabula_ikm!G$1)+ROW(tabula_ikm!G1)+24,1,1,"tabula_ikm")))</f>
        <v>239.533996</v>
      </c>
      <c r="E140" s="33">
        <f ca="1">IFERROR((C140/B140-1)*100,NA())</f>
        <v>52.793104346194667</v>
      </c>
      <c r="F140" s="33">
        <f ca="1">IFERROR((D140/C140-1)*100,NA())</f>
        <v>4.0326048805474635</v>
      </c>
      <c r="G140" s="34">
        <f ca="1">IFERROR((C140/B140-1)*100,"")</f>
        <v>52.793104346194667</v>
      </c>
      <c r="H140" s="34">
        <f ca="1">IFERROR((D140/C140-1)*100,"")</f>
        <v>4.0326048805474635</v>
      </c>
    </row>
    <row r="141" spans="1:10">
      <c r="A141" s="32" t="s">
        <v>9</v>
      </c>
      <c r="B141" s="33">
        <f ca="1">IF(INDIRECT(ADDRESS(ROW(tabula_ikm!G$5),COLUMN(tabula_ikm!G$1)+ROW(tabula_ikm!G2),1,1,"tabula_ikm"))="","",INDIRECT(ADDRESS(ROW(tabula_ikm!G$5),COLUMN(tabula_ikm!G$1)+ROW(tabula_ikm!G2),1,1,"tabula_ikm")))</f>
        <v>153.563095</v>
      </c>
      <c r="C141" s="33">
        <f ca="1">IF(INDIRECT(ADDRESS(ROW(tabula_ikm!G$5),COLUMN(tabula_ikm!G$1)+ROW(tabula_ikm!G2)+12,1,1,"tabula_ikm"))="","",INDIRECT(ADDRESS(ROW(tabula_ikm!G$5),COLUMN(tabula_ikm!G$1)+ROW(tabula_ikm!G2)+12,1,1,"tabula_ikm")))</f>
        <v>184.558896</v>
      </c>
      <c r="D141" s="33">
        <f ca="1">IF(INDIRECT(ADDRESS(ROW(tabula_ikm!G$5),COLUMN(tabula_ikm!G$1)+ROW(tabula_ikm!G2)+24,1,1,"tabula_ikm"))="","",INDIRECT(ADDRESS(ROW(tabula_ikm!G$5),COLUMN(tabula_ikm!G$1)+ROW(tabula_ikm!G2)+24,1,1,"tabula_ikm")))</f>
        <v>203.94499200000001</v>
      </c>
      <c r="E141" s="33">
        <f t="shared" ref="E141:E151" ca="1" si="21">IFERROR((C141/B141-1)*100,NA())</f>
        <v>20.184407588294562</v>
      </c>
      <c r="F141" s="33">
        <f t="shared" ref="F141:F151" ca="1" si="22">IFERROR((D141/C141-1)*100,NA())</f>
        <v>10.504016018821449</v>
      </c>
      <c r="G141" s="34">
        <f t="shared" ref="G141:G152" ca="1" si="23">IFERROR((C141/B141-1)*100,"")</f>
        <v>20.184407588294562</v>
      </c>
      <c r="H141" s="34">
        <f t="shared" ref="H141:H152" ca="1" si="24">IFERROR((D141/C141-1)*100,"")</f>
        <v>10.504016018821449</v>
      </c>
    </row>
    <row r="142" spans="1:10">
      <c r="A142" s="32" t="s">
        <v>10</v>
      </c>
      <c r="B142" s="33">
        <f ca="1">IF(INDIRECT(ADDRESS(ROW(tabula_ikm!G$5),COLUMN(tabula_ikm!G$1)+ROW(tabula_ikm!G3),1,1,"tabula_ikm"))="","",INDIRECT(ADDRESS(ROW(tabula_ikm!G$5),COLUMN(tabula_ikm!G$1)+ROW(tabula_ikm!G3),1,1,"tabula_ikm")))</f>
        <v>45.660741999999971</v>
      </c>
      <c r="C142" s="33">
        <f ca="1">IF(INDIRECT(ADDRESS(ROW(tabula_ikm!G$5),COLUMN(tabula_ikm!G$1)+ROW(tabula_ikm!G3)+12,1,1,"tabula_ikm"))="","",INDIRECT(ADDRESS(ROW(tabula_ikm!G$5),COLUMN(tabula_ikm!G$1)+ROW(tabula_ikm!G3)+12,1,1,"tabula_ikm")))</f>
        <v>65.002210999999988</v>
      </c>
      <c r="D142" s="33">
        <f ca="1">IF(INDIRECT(ADDRESS(ROW(tabula_ikm!G$5),COLUMN(tabula_ikm!G$1)+ROW(tabula_ikm!G3)+24,1,1,"tabula_ikm"))="","",INDIRECT(ADDRESS(ROW(tabula_ikm!G$5),COLUMN(tabula_ikm!G$1)+ROW(tabula_ikm!G3)+24,1,1,"tabula_ikm")))</f>
        <v>69.210313999999983</v>
      </c>
      <c r="E142" s="33">
        <f t="shared" ca="1" si="21"/>
        <v>42.3590773010216</v>
      </c>
      <c r="F142" s="33">
        <f t="shared" ca="1" si="22"/>
        <v>6.4737844071180772</v>
      </c>
      <c r="G142" s="34">
        <f t="shared" ca="1" si="23"/>
        <v>42.3590773010216</v>
      </c>
      <c r="H142" s="89">
        <f t="shared" ca="1" si="24"/>
        <v>6.4737844071180772</v>
      </c>
    </row>
    <row r="143" spans="1:10">
      <c r="A143" s="32" t="s">
        <v>11</v>
      </c>
      <c r="B143" s="33">
        <f ca="1">IF(INDIRECT(ADDRESS(ROW(tabula_ikm!G$5),COLUMN(tabula_ikm!G$1)+ROW(tabula_ikm!G4),1,1,"tabula_ikm"))="","",INDIRECT(ADDRESS(ROW(tabula_ikm!G$5),COLUMN(tabula_ikm!G$1)+ROW(tabula_ikm!G4),1,1,"tabula_ikm")))</f>
        <v>128.34452000000005</v>
      </c>
      <c r="C143" s="33">
        <f ca="1">IF(INDIRECT(ADDRESS(ROW(tabula_ikm!G$5),COLUMN(tabula_ikm!G$1)+ROW(tabula_ikm!G4)+12,1,1,"tabula_ikm"))="","",INDIRECT(ADDRESS(ROW(tabula_ikm!G$5),COLUMN(tabula_ikm!G$1)+ROW(tabula_ikm!G4)+12,1,1,"tabula_ikm")))</f>
        <v>165.30697299999997</v>
      </c>
      <c r="D143" s="33">
        <f ca="1">IF(INDIRECT(ADDRESS(ROW(tabula_ikm!G$5),COLUMN(tabula_ikm!G$1)+ROW(tabula_ikm!G4)+24,1,1,"tabula_ikm"))="","",INDIRECT(ADDRESS(ROW(tabula_ikm!G$5),COLUMN(tabula_ikm!G$1)+ROW(tabula_ikm!G4)+24,1,1,"tabula_ikm")))</f>
        <v>176.94750699999997</v>
      </c>
      <c r="E143" s="33">
        <f t="shared" ca="1" si="21"/>
        <v>28.799401018446225</v>
      </c>
      <c r="F143" s="33">
        <f t="shared" ca="1" si="22"/>
        <v>7.0417682864472919</v>
      </c>
      <c r="G143" s="34">
        <f t="shared" ca="1" si="23"/>
        <v>28.799401018446225</v>
      </c>
      <c r="H143" s="34">
        <f t="shared" ca="1" si="24"/>
        <v>7.0417682864472919</v>
      </c>
      <c r="J143" s="105"/>
    </row>
    <row r="144" spans="1:10">
      <c r="A144" s="32" t="s">
        <v>12</v>
      </c>
      <c r="B144" s="33">
        <f ca="1">IF(INDIRECT(ADDRESS(ROW(tabula_ikm!G$5),COLUMN(tabula_ikm!G$1)+ROW(tabula_ikm!G5),1,1,"tabula_ikm"))="","",INDIRECT(ADDRESS(ROW(tabula_ikm!G$5),COLUMN(tabula_ikm!G$1)+ROW(tabula_ikm!G5),1,1,"tabula_ikm")))</f>
        <v>128.55619100000001</v>
      </c>
      <c r="C144" s="33">
        <f ca="1">IF(INDIRECT(ADDRESS(ROW(tabula_ikm!G$5),COLUMN(tabula_ikm!G$1)+ROW(tabula_ikm!G5)+12,1,1,"tabula_ikm"))="","",INDIRECT(ADDRESS(ROW(tabula_ikm!G$5),COLUMN(tabula_ikm!G$1)+ROW(tabula_ikm!G5)+12,1,1,"tabula_ikm")))</f>
        <v>175.24344700000006</v>
      </c>
      <c r="D144" s="33" t="str">
        <f ca="1">IF(INDIRECT(ADDRESS(ROW(tabula_ikm!G$5),COLUMN(tabula_ikm!G$1)+ROW(tabula_ikm!G5)+24,1,1,"tabula_ikm"))="","",INDIRECT(ADDRESS(ROW(tabula_ikm!G$5),COLUMN(tabula_ikm!G$1)+ROW(tabula_ikm!G5)+24,1,1,"tabula_ikm")))</f>
        <v/>
      </c>
      <c r="E144" s="33">
        <f t="shared" ca="1" si="21"/>
        <v>36.316614265586054</v>
      </c>
      <c r="F144" s="33" t="e">
        <f t="shared" ca="1" si="22"/>
        <v>#N/A</v>
      </c>
      <c r="G144" s="34">
        <f t="shared" ca="1" si="23"/>
        <v>36.316614265586054</v>
      </c>
      <c r="H144" s="34" t="str">
        <f t="shared" ca="1" si="24"/>
        <v/>
      </c>
    </row>
    <row r="145" spans="1:8">
      <c r="A145" s="32" t="s">
        <v>13</v>
      </c>
      <c r="B145" s="33">
        <f ca="1">IF(INDIRECT(ADDRESS(ROW(tabula_ikm!G$5),COLUMN(tabula_ikm!G$1)+ROW(tabula_ikm!G6),1,1,"tabula_ikm"))="","",INDIRECT(ADDRESS(ROW(tabula_ikm!G$5),COLUMN(tabula_ikm!G$1)+ROW(tabula_ikm!G6),1,1,"tabula_ikm")))</f>
        <v>134.98612099999991</v>
      </c>
      <c r="C145" s="33">
        <f ca="1">IF(INDIRECT(ADDRESS(ROW(tabula_ikm!G$5),COLUMN(tabula_ikm!G$1)+ROW(tabula_ikm!G6)+12,1,1,"tabula_ikm"))="","",INDIRECT(ADDRESS(ROW(tabula_ikm!G$5),COLUMN(tabula_ikm!G$1)+ROW(tabula_ikm!G6)+12,1,1,"tabula_ikm")))</f>
        <v>193.47165899999993</v>
      </c>
      <c r="D145" s="33" t="str">
        <f ca="1">IF(INDIRECT(ADDRESS(ROW(tabula_ikm!G$5),COLUMN(tabula_ikm!G$1)+ROW(tabula_ikm!G6)+24,1,1,"tabula_ikm"))="","",INDIRECT(ADDRESS(ROW(tabula_ikm!G$5),COLUMN(tabula_ikm!G$1)+ROW(tabula_ikm!G6)+24,1,1,"tabula_ikm")))</f>
        <v/>
      </c>
      <c r="E145" s="33">
        <f t="shared" ca="1" si="21"/>
        <v>43.327075085000821</v>
      </c>
      <c r="F145" s="33" t="e">
        <f t="shared" ca="1" si="22"/>
        <v>#N/A</v>
      </c>
      <c r="G145" s="34">
        <f t="shared" ca="1" si="23"/>
        <v>43.327075085000821</v>
      </c>
      <c r="H145" s="34" t="str">
        <f t="shared" ca="1" si="24"/>
        <v/>
      </c>
    </row>
    <row r="146" spans="1:8">
      <c r="A146" s="32" t="s">
        <v>14</v>
      </c>
      <c r="B146" s="33">
        <f ca="1">IF(INDIRECT(ADDRESS(ROW(tabula_ikm!G$5),COLUMN(tabula_ikm!G$1)+ROW(tabula_ikm!G7),1,1,"tabula_ikm"))="","",INDIRECT(ADDRESS(ROW(tabula_ikm!G$5),COLUMN(tabula_ikm!G$1)+ROW(tabula_ikm!G7),1,1,"tabula_ikm")))</f>
        <v>188.25253300000008</v>
      </c>
      <c r="C146" s="33">
        <f ca="1">IF(INDIRECT(ADDRESS(ROW(tabula_ikm!G$5),COLUMN(tabula_ikm!G$1)+ROW(tabula_ikm!G7)+12,1,1,"tabula_ikm"))="","",INDIRECT(ADDRESS(ROW(tabula_ikm!G$5),COLUMN(tabula_ikm!G$1)+ROW(tabula_ikm!G7)+12,1,1,"tabula_ikm")))</f>
        <v>220.96358700000008</v>
      </c>
      <c r="D146" s="33" t="str">
        <f ca="1">IF(INDIRECT(ADDRESS(ROW(tabula_ikm!G$5),COLUMN(tabula_ikm!G$1)+ROW(tabula_ikm!G7)+24,1,1,"tabula_ikm"))="","",INDIRECT(ADDRESS(ROW(tabula_ikm!G$5),COLUMN(tabula_ikm!G$1)+ROW(tabula_ikm!G7)+24,1,1,"tabula_ikm")))</f>
        <v/>
      </c>
      <c r="E146" s="33">
        <f t="shared" ca="1" si="21"/>
        <v>17.376156101973915</v>
      </c>
      <c r="F146" s="33" t="e">
        <f t="shared" ca="1" si="22"/>
        <v>#N/A</v>
      </c>
      <c r="G146" s="34">
        <f t="shared" ca="1" si="23"/>
        <v>17.376156101973915</v>
      </c>
      <c r="H146" s="34" t="str">
        <f t="shared" ca="1" si="24"/>
        <v/>
      </c>
    </row>
    <row r="147" spans="1:8">
      <c r="A147" s="32" t="s">
        <v>15</v>
      </c>
      <c r="B147" s="33">
        <f ca="1">IF(INDIRECT(ADDRESS(ROW(tabula_ikm!G$5),COLUMN(tabula_ikm!G$1)+ROW(tabula_ikm!G8),1,1,"tabula_ikm"))="","",INDIRECT(ADDRESS(ROW(tabula_ikm!G$5),COLUMN(tabula_ikm!G$1)+ROW(tabula_ikm!G8),1,1,"tabula_ikm")))</f>
        <v>170.50485999999989</v>
      </c>
      <c r="C147" s="33">
        <f ca="1">IF(INDIRECT(ADDRESS(ROW(tabula_ikm!G$5),COLUMN(tabula_ikm!G$1)+ROW(tabula_ikm!G8)+12,1,1,"tabula_ikm"))="","",INDIRECT(ADDRESS(ROW(tabula_ikm!G$5),COLUMN(tabula_ikm!G$1)+ROW(tabula_ikm!G8)+12,1,1,"tabula_ikm")))</f>
        <v>202.01731199999995</v>
      </c>
      <c r="D147" s="33" t="str">
        <f ca="1">IF(INDIRECT(ADDRESS(ROW(tabula_ikm!G$5),COLUMN(tabula_ikm!G$1)+ROW(tabula_ikm!G8)+24,1,1,"tabula_ikm"))="","",INDIRECT(ADDRESS(ROW(tabula_ikm!G$5),COLUMN(tabula_ikm!G$1)+ROW(tabula_ikm!G8)+24,1,1,"tabula_ikm")))</f>
        <v/>
      </c>
      <c r="E147" s="33">
        <f t="shared" ca="1" si="21"/>
        <v>18.481849725573852</v>
      </c>
      <c r="F147" s="33" t="e">
        <f t="shared" ca="1" si="22"/>
        <v>#N/A</v>
      </c>
      <c r="G147" s="34">
        <f t="shared" ca="1" si="23"/>
        <v>18.481849725573852</v>
      </c>
      <c r="H147" s="34" t="str">
        <f t="shared" ca="1" si="24"/>
        <v/>
      </c>
    </row>
    <row r="148" spans="1:8">
      <c r="A148" s="32" t="s">
        <v>16</v>
      </c>
      <c r="B148" s="33">
        <f ca="1">IF(INDIRECT(ADDRESS(ROW(tabula_ikm!G$5),COLUMN(tabula_ikm!G$1)+ROW(tabula_ikm!G9),1,1,"tabula_ikm"))="","",INDIRECT(ADDRESS(ROW(tabula_ikm!G$5),COLUMN(tabula_ikm!G$1)+ROW(tabula_ikm!G9),1,1,"tabula_ikm")))</f>
        <v>168.64160800000013</v>
      </c>
      <c r="C148" s="33">
        <f ca="1">IF(INDIRECT(ADDRESS(ROW(tabula_ikm!G$5),COLUMN(tabula_ikm!G$1)+ROW(tabula_ikm!G9)+12,1,1,"tabula_ikm"))="","",INDIRECT(ADDRESS(ROW(tabula_ikm!G$5),COLUMN(tabula_ikm!G$1)+ROW(tabula_ikm!G9)+12,1,1,"tabula_ikm")))</f>
        <v>208.38990699999999</v>
      </c>
      <c r="D148" s="33" t="str">
        <f ca="1">IF(INDIRECT(ADDRESS(ROW(tabula_ikm!G$5),COLUMN(tabula_ikm!G$1)+ROW(tabula_ikm!G9)+24,1,1,"tabula_ikm"))="","",INDIRECT(ADDRESS(ROW(tabula_ikm!G$5),COLUMN(tabula_ikm!G$1)+ROW(tabula_ikm!G9)+24,1,1,"tabula_ikm")))</f>
        <v/>
      </c>
      <c r="E148" s="33">
        <f t="shared" ca="1" si="21"/>
        <v>23.569686906685462</v>
      </c>
      <c r="F148" s="33" t="e">
        <f t="shared" ca="1" si="22"/>
        <v>#N/A</v>
      </c>
      <c r="G148" s="34">
        <f t="shared" ca="1" si="23"/>
        <v>23.569686906685462</v>
      </c>
      <c r="H148" s="34" t="str">
        <f t="shared" ca="1" si="24"/>
        <v/>
      </c>
    </row>
    <row r="149" spans="1:8">
      <c r="A149" s="32" t="s">
        <v>17</v>
      </c>
      <c r="B149" s="33">
        <f ca="1">IF(INDIRECT(ADDRESS(ROW(tabula_ikm!G$5),COLUMN(tabula_ikm!G$1)+ROW(tabula_ikm!G10),1,1,"tabula_ikm"))="","",INDIRECT(ADDRESS(ROW(tabula_ikm!G$5),COLUMN(tabula_ikm!G$1)+ROW(tabula_ikm!G10),1,1,"tabula_ikm")))</f>
        <v>269.57514900000001</v>
      </c>
      <c r="C149" s="33">
        <f ca="1">IF(INDIRECT(ADDRESS(ROW(tabula_ikm!G$5),COLUMN(tabula_ikm!G$1)+ROW(tabula_ikm!G10)+12,1,1,"tabula_ikm"))="","",INDIRECT(ADDRESS(ROW(tabula_ikm!G$5),COLUMN(tabula_ikm!G$1)+ROW(tabula_ikm!G10)+12,1,1,"tabula_ikm")))</f>
        <v>217.09081200000014</v>
      </c>
      <c r="D149" s="33" t="str">
        <f ca="1">IF(INDIRECT(ADDRESS(ROW(tabula_ikm!G$5),COLUMN(tabula_ikm!G$1)+ROW(tabula_ikm!G10)+24,1,1,"tabula_ikm"))="","",INDIRECT(ADDRESS(ROW(tabula_ikm!G$5),COLUMN(tabula_ikm!G$1)+ROW(tabula_ikm!G10)+24,1,1,"tabula_ikm")))</f>
        <v/>
      </c>
      <c r="E149" s="33">
        <f t="shared" ca="1" si="21"/>
        <v>-19.469278675980572</v>
      </c>
      <c r="F149" s="33" t="e">
        <f t="shared" ca="1" si="22"/>
        <v>#N/A</v>
      </c>
      <c r="G149" s="34">
        <f t="shared" ca="1" si="23"/>
        <v>-19.469278675980572</v>
      </c>
      <c r="H149" s="34" t="str">
        <f t="shared" ca="1" si="24"/>
        <v/>
      </c>
    </row>
    <row r="150" spans="1:8">
      <c r="A150" s="32" t="s">
        <v>18</v>
      </c>
      <c r="B150" s="33">
        <f ca="1">IF(INDIRECT(ADDRESS(ROW(tabula_ikm!G$5),COLUMN(tabula_ikm!G$1)+ROW(tabula_ikm!G11),1,1,"tabula_ikm"))="","",INDIRECT(ADDRESS(ROW(tabula_ikm!G$5),COLUMN(tabula_ikm!G$1)+ROW(tabula_ikm!G11),1,1,"tabula_ikm")))</f>
        <v>167.63411999999994</v>
      </c>
      <c r="C150" s="33">
        <f ca="1">IF(INDIRECT(ADDRESS(ROW(tabula_ikm!G$5),COLUMN(tabula_ikm!G$1)+ROW(tabula_ikm!G11)+12,1,1,"tabula_ikm"))="","",INDIRECT(ADDRESS(ROW(tabula_ikm!G$5),COLUMN(tabula_ikm!G$1)+ROW(tabula_ikm!G11)+12,1,1,"tabula_ikm")))</f>
        <v>200.2854649999997</v>
      </c>
      <c r="D150" s="33" t="str">
        <f ca="1">IF(INDIRECT(ADDRESS(ROW(tabula_ikm!G$5),COLUMN(tabula_ikm!G$1)+ROW(tabula_ikm!G11)+24,1,1,"tabula_ikm"))="","",INDIRECT(ADDRESS(ROW(tabula_ikm!G$5),COLUMN(tabula_ikm!G$1)+ROW(tabula_ikm!G11)+24,1,1,"tabula_ikm")))</f>
        <v/>
      </c>
      <c r="E150" s="33">
        <f t="shared" ca="1" si="21"/>
        <v>19.477744148983376</v>
      </c>
      <c r="F150" s="33" t="e">
        <f t="shared" ca="1" si="22"/>
        <v>#N/A</v>
      </c>
      <c r="G150" s="34">
        <f t="shared" ca="1" si="23"/>
        <v>19.477744148983376</v>
      </c>
      <c r="H150" s="34" t="str">
        <f t="shared" ca="1" si="24"/>
        <v/>
      </c>
    </row>
    <row r="151" spans="1:8">
      <c r="A151" s="32" t="s">
        <v>19</v>
      </c>
      <c r="B151" s="33">
        <f ca="1">IF(INDIRECT(ADDRESS(ROW(tabula_ikm!G$5),COLUMN(tabula_ikm!G$1)+ROW(tabula_ikm!G12),1,1,"tabula_ikm"))="","",INDIRECT(ADDRESS(ROW(tabula_ikm!G$5),COLUMN(tabula_ikm!G$1)+ROW(tabula_ikm!G12),1,1,"tabula_ikm")))</f>
        <v>220.86456900000007</v>
      </c>
      <c r="C151" s="33">
        <f ca="1">IF(INDIRECT(ADDRESS(ROW(tabula_ikm!G$5),COLUMN(tabula_ikm!G$1)+ROW(tabula_ikm!G12)+12,1,1,"tabula_ikm"))="","",INDIRECT(ADDRESS(ROW(tabula_ikm!G$5),COLUMN(tabula_ikm!G$1)+ROW(tabula_ikm!G12)+12,1,1,"tabula_ikm")))</f>
        <v>199.89776400000028</v>
      </c>
      <c r="D151" s="33" t="str">
        <f ca="1">IF(INDIRECT(ADDRESS(ROW(tabula_ikm!G$5),COLUMN(tabula_ikm!G$1)+ROW(tabula_ikm!G12)+24,1,1,"tabula_ikm"))="","",INDIRECT(ADDRESS(ROW(tabula_ikm!G$5),COLUMN(tabula_ikm!G$1)+ROW(tabula_ikm!G12)+24,1,1,"tabula_ikm")))</f>
        <v/>
      </c>
      <c r="E151" s="33">
        <f t="shared" ca="1" si="21"/>
        <v>-9.4930595228244989</v>
      </c>
      <c r="F151" s="33" t="e">
        <f t="shared" ca="1" si="22"/>
        <v>#N/A</v>
      </c>
      <c r="G151" s="34">
        <f t="shared" ca="1" si="23"/>
        <v>-9.4930595228244989</v>
      </c>
      <c r="H151" s="34" t="str">
        <f t="shared" ca="1" si="24"/>
        <v/>
      </c>
    </row>
    <row r="152" spans="1:8">
      <c r="A152" s="35" t="s">
        <v>21</v>
      </c>
      <c r="B152" s="36">
        <f ca="1">SUM(B140:B150)</f>
        <v>1706.412235</v>
      </c>
      <c r="C152" s="36">
        <f ca="1">SUM(C140:C151)</f>
        <v>2262.4769980000001</v>
      </c>
      <c r="D152" s="36">
        <f ca="1">SUM(D140:D151)</f>
        <v>689.63680899999997</v>
      </c>
      <c r="E152" s="36">
        <f ca="1">IFERROR((C152/B152-1)*100,"")</f>
        <v>32.586777778231294</v>
      </c>
      <c r="F152" s="36">
        <f ca="1">IFERROR((D152/C152-1)*100,"")</f>
        <v>-69.518505177748551</v>
      </c>
      <c r="G152" s="36">
        <f t="shared" ca="1" si="23"/>
        <v>32.586777778231294</v>
      </c>
      <c r="H152" s="36">
        <f t="shared" ca="1" si="24"/>
        <v>-69.518505177748551</v>
      </c>
    </row>
    <row r="153" spans="1:8">
      <c r="A153" s="42"/>
      <c r="B153" s="39"/>
      <c r="C153" s="39"/>
      <c r="D153" s="39"/>
      <c r="E153" s="39"/>
      <c r="F153" s="39"/>
      <c r="G153" s="43"/>
      <c r="H153" s="43"/>
    </row>
    <row r="154" spans="1:8">
      <c r="A154" s="42"/>
      <c r="B154" s="39"/>
      <c r="C154" s="39"/>
      <c r="D154" s="39"/>
      <c r="E154" s="39"/>
      <c r="F154" s="39"/>
      <c r="G154" s="43"/>
      <c r="H154" s="43"/>
    </row>
    <row r="155" spans="1:8">
      <c r="A155" s="42"/>
      <c r="B155" s="39"/>
      <c r="C155" s="39"/>
      <c r="D155" s="39"/>
      <c r="E155" s="39"/>
      <c r="F155" s="39"/>
      <c r="G155" s="43"/>
      <c r="H155" s="43"/>
    </row>
    <row r="156" spans="1:8">
      <c r="A156" s="42"/>
      <c r="B156" s="39"/>
      <c r="C156" s="39"/>
      <c r="D156" s="39"/>
      <c r="E156" s="39"/>
      <c r="F156" s="39"/>
      <c r="G156" s="43"/>
      <c r="H156" s="43"/>
    </row>
    <row r="157" spans="1:8">
      <c r="A157" s="42"/>
      <c r="B157" s="39"/>
      <c r="C157" s="39"/>
      <c r="D157" s="39"/>
      <c r="E157" s="39"/>
      <c r="F157" s="39"/>
      <c r="G157" s="43"/>
      <c r="H157" s="43"/>
    </row>
    <row r="158" spans="1:8">
      <c r="A158" s="42"/>
      <c r="B158" s="39"/>
      <c r="C158" s="39"/>
      <c r="D158" s="39"/>
      <c r="E158" s="39"/>
      <c r="F158" s="39"/>
      <c r="G158" s="43"/>
      <c r="H158" s="43"/>
    </row>
    <row r="159" spans="1:8">
      <c r="A159" s="42"/>
      <c r="B159" s="39"/>
      <c r="C159" s="39"/>
      <c r="D159" s="39"/>
      <c r="E159" s="39"/>
      <c r="F159" s="39"/>
      <c r="G159" s="43"/>
      <c r="H159" s="43"/>
    </row>
    <row r="160" spans="1:8">
      <c r="A160" s="42"/>
      <c r="B160" s="39"/>
      <c r="C160" s="39"/>
      <c r="D160" s="39"/>
      <c r="E160" s="39"/>
      <c r="F160" s="39"/>
      <c r="G160" s="43"/>
      <c r="H160" s="43"/>
    </row>
    <row r="161" spans="1:10">
      <c r="A161" s="42"/>
      <c r="B161" s="39"/>
      <c r="C161" s="39"/>
      <c r="D161" s="39"/>
      <c r="E161" s="39"/>
      <c r="F161" s="39"/>
      <c r="G161" s="43"/>
      <c r="H161" s="43"/>
    </row>
    <row r="162" spans="1:10">
      <c r="A162" s="42"/>
      <c r="B162" s="39"/>
      <c r="C162" s="39"/>
      <c r="D162" s="39"/>
      <c r="E162" s="39"/>
      <c r="F162" s="39"/>
      <c r="G162" s="43"/>
      <c r="H162" s="43"/>
    </row>
    <row r="163" spans="1:10">
      <c r="A163" s="42"/>
      <c r="B163" s="39"/>
      <c r="C163" s="39"/>
      <c r="D163" s="39"/>
      <c r="E163" s="39"/>
      <c r="F163" s="39"/>
      <c r="G163" s="43"/>
      <c r="H163" s="43"/>
    </row>
    <row r="164" spans="1:10">
      <c r="A164" s="42"/>
      <c r="B164" s="39"/>
      <c r="C164" s="39"/>
      <c r="D164" s="39"/>
      <c r="E164" s="39"/>
      <c r="F164" s="39"/>
      <c r="G164" s="43"/>
      <c r="H164" s="43"/>
    </row>
    <row r="165" spans="1:10">
      <c r="A165" s="42"/>
      <c r="B165" s="39"/>
      <c r="C165" s="39"/>
      <c r="D165" s="39"/>
      <c r="E165" s="39"/>
      <c r="F165" s="39"/>
      <c r="G165" s="43"/>
      <c r="H165" s="43"/>
    </row>
    <row r="166" spans="1:10">
      <c r="A166" s="42"/>
      <c r="B166" s="39"/>
      <c r="C166" s="39"/>
      <c r="D166" s="39"/>
      <c r="E166" s="39"/>
      <c r="F166" s="39"/>
      <c r="G166" s="43"/>
      <c r="H166" s="43"/>
    </row>
    <row r="167" spans="1:10">
      <c r="A167" s="42"/>
      <c r="B167" s="39"/>
      <c r="C167" s="39"/>
      <c r="D167" s="39"/>
      <c r="E167" s="39"/>
      <c r="F167" s="39"/>
      <c r="G167" s="43"/>
      <c r="H167" s="43"/>
    </row>
    <row r="168" spans="1:10">
      <c r="A168" s="102" t="s">
        <v>4</v>
      </c>
      <c r="B168" s="103"/>
      <c r="C168" s="103"/>
      <c r="D168" s="103"/>
      <c r="E168" s="103"/>
      <c r="F168" s="103"/>
      <c r="G168" s="103"/>
      <c r="H168" s="104"/>
    </row>
    <row r="169" spans="1:10" ht="15" customHeight="1">
      <c r="A169" s="26" t="s">
        <v>5</v>
      </c>
      <c r="B169" s="99" t="s">
        <v>177</v>
      </c>
      <c r="C169" s="101"/>
      <c r="D169" s="100"/>
      <c r="E169" s="99" t="s">
        <v>2</v>
      </c>
      <c r="F169" s="100"/>
      <c r="G169" s="99" t="s">
        <v>2</v>
      </c>
      <c r="H169" s="100"/>
    </row>
    <row r="170" spans="1:10">
      <c r="A170" s="27">
        <v>1</v>
      </c>
      <c r="B170" s="28">
        <v>2</v>
      </c>
      <c r="C170" s="28">
        <v>3</v>
      </c>
      <c r="D170" s="28">
        <v>4</v>
      </c>
      <c r="E170" s="29" t="s">
        <v>71</v>
      </c>
      <c r="F170" s="29" t="s">
        <v>72</v>
      </c>
      <c r="G170" s="29" t="s">
        <v>71</v>
      </c>
      <c r="H170" s="29" t="s">
        <v>72</v>
      </c>
    </row>
    <row r="171" spans="1:10">
      <c r="A171" s="30"/>
      <c r="B171" s="28" t="s">
        <v>23</v>
      </c>
      <c r="C171" s="28" t="s">
        <v>6</v>
      </c>
      <c r="D171" s="28" t="s">
        <v>7</v>
      </c>
      <c r="E171" s="28" t="s">
        <v>6</v>
      </c>
      <c r="F171" s="28" t="s">
        <v>7</v>
      </c>
      <c r="G171" s="27" t="s">
        <v>6</v>
      </c>
      <c r="H171" s="27" t="s">
        <v>7</v>
      </c>
    </row>
    <row r="172" spans="1:10" ht="29">
      <c r="A172" s="31"/>
      <c r="B172" s="26">
        <v>2021</v>
      </c>
      <c r="C172" s="26">
        <v>2022</v>
      </c>
      <c r="D172" s="26">
        <v>2023</v>
      </c>
      <c r="E172" s="26" t="s">
        <v>74</v>
      </c>
      <c r="F172" s="26" t="s">
        <v>73</v>
      </c>
      <c r="G172" s="26" t="s">
        <v>162</v>
      </c>
      <c r="H172" s="26" t="s">
        <v>73</v>
      </c>
    </row>
    <row r="173" spans="1:10">
      <c r="A173" s="32" t="s">
        <v>8</v>
      </c>
      <c r="B173" s="33">
        <f ca="1">IF(INDIRECT(ADDRESS(ROW(tabula_ikm!G$16),COLUMN(tabula_ikm!G$1)+ROW(tabula_ikm!G1),1,1,"tabula_ikm"))="","",INDIRECT(ADDRESS(ROW(tabula_ikm!G$16),COLUMN(tabula_ikm!G$1)+ROW(tabula_ikm!G1),1,1,"tabula_ikm")))</f>
        <v>31.370888000000001</v>
      </c>
      <c r="C173" s="33">
        <f ca="1">IF(INDIRECT(ADDRESS(ROW(tabula_ikm!G$16),COLUMN(tabula_ikm!G$1)+ROW(tabula_ikm!G1)+12,1,1,"tabula_ikm"))="","",INDIRECT(ADDRESS(ROW(tabula_ikm!G$16),COLUMN(tabula_ikm!G$1)+ROW(tabula_ikm!G1)+12,1,1,"tabula_ikm")))</f>
        <v>57.283079000000001</v>
      </c>
      <c r="D173" s="33">
        <f ca="1">IF(INDIRECT(ADDRESS(ROW(tabula_ikm!G$16),COLUMN(tabula_ikm!G$1)+ROW(tabula_ikm!G1)+24,1,1,"tabula_ikm"))="","",INDIRECT(ADDRESS(ROW(tabula_ikm!G$16),COLUMN(tabula_ikm!G$1)+ROW(tabula_ikm!G1)+24,1,1,"tabula_ikm")))</f>
        <v>46.895817000000001</v>
      </c>
      <c r="E173" s="33">
        <f ca="1">IFERROR((C173/B173-1)*100,NA())</f>
        <v>82.599482042076716</v>
      </c>
      <c r="F173" s="33">
        <f ca="1">IFERROR((D173/C173-1)*100,NA())</f>
        <v>-18.133211729069242</v>
      </c>
      <c r="G173" s="34">
        <f ca="1">IFERROR((C173/B173-1)*100,"")</f>
        <v>82.599482042076716</v>
      </c>
      <c r="H173" s="34">
        <f ca="1">IFERROR((D173/C173-1)*100,"")</f>
        <v>-18.133211729069242</v>
      </c>
    </row>
    <row r="174" spans="1:10">
      <c r="A174" s="32" t="s">
        <v>9</v>
      </c>
      <c r="B174" s="33">
        <f ca="1">IF(INDIRECT(ADDRESS(ROW(tabula_ikm!G$16),COLUMN(tabula_ikm!G$1)+ROW(tabula_ikm!G2),1,1,"tabula_ikm"))="","",INDIRECT(ADDRESS(ROW(tabula_ikm!G$16),COLUMN(tabula_ikm!G$1)+ROW(tabula_ikm!G2),1,1,"tabula_ikm")))</f>
        <v>45.121068000000001</v>
      </c>
      <c r="C174" s="33">
        <f ca="1">IF(INDIRECT(ADDRESS(ROW(tabula_ikm!G$16),COLUMN(tabula_ikm!G$1)+ROW(tabula_ikm!G2)+12,1,1,"tabula_ikm"))="","",INDIRECT(ADDRESS(ROW(tabula_ikm!G$16),COLUMN(tabula_ikm!G$1)+ROW(tabula_ikm!G2)+12,1,1,"tabula_ikm")))</f>
        <v>46.204665000000006</v>
      </c>
      <c r="D174" s="33">
        <f ca="1">IF(INDIRECT(ADDRESS(ROW(tabula_ikm!G$16),COLUMN(tabula_ikm!G$1)+ROW(tabula_ikm!G2)+24,1,1,"tabula_ikm"))="","",INDIRECT(ADDRESS(ROW(tabula_ikm!G$16),COLUMN(tabula_ikm!G$1)+ROW(tabula_ikm!G2)+24,1,1,"tabula_ikm")))</f>
        <v>55.444927999999997</v>
      </c>
      <c r="E174" s="33">
        <f t="shared" ref="E174:E184" ca="1" si="25">IFERROR((C174/B174-1)*100,NA())</f>
        <v>2.4015322509653547</v>
      </c>
      <c r="F174" s="33">
        <f t="shared" ref="F174:F184" ca="1" si="26">IFERROR((D174/C174-1)*100,NA())</f>
        <v>19.998549929969165</v>
      </c>
      <c r="G174" s="34">
        <f t="shared" ref="G174:G184" ca="1" si="27">IFERROR((C174/B174-1)*100,"")</f>
        <v>2.4015322509653547</v>
      </c>
      <c r="H174" s="34">
        <f t="shared" ref="H174:H184" ca="1" si="28">IFERROR((D174/C174-1)*100,"")</f>
        <v>19.998549929969165</v>
      </c>
    </row>
    <row r="175" spans="1:10">
      <c r="A175" s="32" t="s">
        <v>10</v>
      </c>
      <c r="B175" s="33">
        <f ca="1">IF(INDIRECT(ADDRESS(ROW(tabula_ikm!G$16),COLUMN(tabula_ikm!G$1)+ROW(tabula_ikm!G3),1,1,"tabula_ikm"))="","",INDIRECT(ADDRESS(ROW(tabula_ikm!G$16),COLUMN(tabula_ikm!G$1)+ROW(tabula_ikm!G3),1,1,"tabula_ikm")))</f>
        <v>35.264769000000001</v>
      </c>
      <c r="C175" s="33">
        <f ca="1">IF(INDIRECT(ADDRESS(ROW(tabula_ikm!G$16),COLUMN(tabula_ikm!G$1)+ROW(tabula_ikm!G3)+12,1,1,"tabula_ikm"))="","",INDIRECT(ADDRESS(ROW(tabula_ikm!G$16),COLUMN(tabula_ikm!G$1)+ROW(tabula_ikm!G3)+12,1,1,"tabula_ikm")))</f>
        <v>65.464437999999987</v>
      </c>
      <c r="D175" s="33">
        <f ca="1">IF(INDIRECT(ADDRESS(ROW(tabula_ikm!G$16),COLUMN(tabula_ikm!G$1)+ROW(tabula_ikm!G3)+24,1,1,"tabula_ikm"))="","",INDIRECT(ADDRESS(ROW(tabula_ikm!G$16),COLUMN(tabula_ikm!G$1)+ROW(tabula_ikm!G3)+24,1,1,"tabula_ikm")))</f>
        <v>53.78161399999999</v>
      </c>
      <c r="E175" s="33">
        <f t="shared" ca="1" si="25"/>
        <v>85.636939802441319</v>
      </c>
      <c r="F175" s="33">
        <f t="shared" ca="1" si="26"/>
        <v>-17.846061704524217</v>
      </c>
      <c r="G175" s="34">
        <f t="shared" ca="1" si="27"/>
        <v>85.636939802441319</v>
      </c>
      <c r="H175" s="89">
        <f t="shared" ca="1" si="28"/>
        <v>-17.846061704524217</v>
      </c>
    </row>
    <row r="176" spans="1:10">
      <c r="A176" s="32" t="s">
        <v>11</v>
      </c>
      <c r="B176" s="33">
        <f ca="1">IF(INDIRECT(ADDRESS(ROW(tabula_ikm!G$16),COLUMN(tabula_ikm!G$1)+ROW(tabula_ikm!G4),1,1,"tabula_ikm"))="","",INDIRECT(ADDRESS(ROW(tabula_ikm!G$16),COLUMN(tabula_ikm!G$1)+ROW(tabula_ikm!G4),1,1,"tabula_ikm")))</f>
        <v>47.331129999999987</v>
      </c>
      <c r="C176" s="33">
        <f ca="1">IF(INDIRECT(ADDRESS(ROW(tabula_ikm!G$16),COLUMN(tabula_ikm!G$1)+ROW(tabula_ikm!G4)+12,1,1,"tabula_ikm"))="","",INDIRECT(ADDRESS(ROW(tabula_ikm!G$16),COLUMN(tabula_ikm!G$1)+ROW(tabula_ikm!G4)+12,1,1,"tabula_ikm")))</f>
        <v>67.048771000000016</v>
      </c>
      <c r="D176" s="33">
        <f ca="1">IF(INDIRECT(ADDRESS(ROW(tabula_ikm!G$16),COLUMN(tabula_ikm!G$1)+ROW(tabula_ikm!G4)+24,1,1,"tabula_ikm"))="","",INDIRECT(ADDRESS(ROW(tabula_ikm!G$16),COLUMN(tabula_ikm!G$1)+ROW(tabula_ikm!G4)+24,1,1,"tabula_ikm")))</f>
        <v>77.237088999999997</v>
      </c>
      <c r="E176" s="33">
        <f t="shared" ca="1" si="25"/>
        <v>41.65892722189399</v>
      </c>
      <c r="F176" s="33">
        <f t="shared" ca="1" si="26"/>
        <v>15.195383670790896</v>
      </c>
      <c r="G176" s="34">
        <f t="shared" ca="1" si="27"/>
        <v>41.65892722189399</v>
      </c>
      <c r="H176" s="34">
        <f t="shared" ca="1" si="28"/>
        <v>15.195383670790896</v>
      </c>
      <c r="J176" s="105"/>
    </row>
    <row r="177" spans="1:8">
      <c r="A177" s="32" t="s">
        <v>12</v>
      </c>
      <c r="B177" s="33">
        <f ca="1">IF(INDIRECT(ADDRESS(ROW(tabula_ikm!G$16),COLUMN(tabula_ikm!G$1)+ROW(tabula_ikm!G5),1,1,"tabula_ikm"))="","",INDIRECT(ADDRESS(ROW(tabula_ikm!G$16),COLUMN(tabula_ikm!G$1)+ROW(tabula_ikm!G5),1,1,"tabula_ikm")))</f>
        <v>194.13074499999999</v>
      </c>
      <c r="C177" s="33">
        <f ca="1">IF(INDIRECT(ADDRESS(ROW(tabula_ikm!G$16),COLUMN(tabula_ikm!G$1)+ROW(tabula_ikm!G5)+12,1,1,"tabula_ikm"))="","",INDIRECT(ADDRESS(ROW(tabula_ikm!G$16),COLUMN(tabula_ikm!G$1)+ROW(tabula_ikm!G5)+12,1,1,"tabula_ikm")))</f>
        <v>88.41471599999997</v>
      </c>
      <c r="D177" s="33" t="str">
        <f ca="1">IF(INDIRECT(ADDRESS(ROW(tabula_ikm!G$16),COLUMN(tabula_ikm!G$1)+ROW(tabula_ikm!G5)+24,1,1,"tabula_ikm"))="","",INDIRECT(ADDRESS(ROW(tabula_ikm!G$16),COLUMN(tabula_ikm!G$1)+ROW(tabula_ikm!G5)+24,1,1,"tabula_ikm")))</f>
        <v/>
      </c>
      <c r="E177" s="33">
        <f t="shared" ca="1" si="25"/>
        <v>-54.456098131184746</v>
      </c>
      <c r="F177" s="33" t="e">
        <f t="shared" ca="1" si="26"/>
        <v>#N/A</v>
      </c>
      <c r="G177" s="34">
        <f t="shared" ca="1" si="27"/>
        <v>-54.456098131184746</v>
      </c>
      <c r="H177" s="34" t="str">
        <f t="shared" ca="1" si="28"/>
        <v/>
      </c>
    </row>
    <row r="178" spans="1:8">
      <c r="A178" s="32" t="s">
        <v>13</v>
      </c>
      <c r="B178" s="33">
        <f ca="1">IF(INDIRECT(ADDRESS(ROW(tabula_ikm!G$16),COLUMN(tabula_ikm!G$1)+ROW(tabula_ikm!G6),1,1,"tabula_ikm"))="","",INDIRECT(ADDRESS(ROW(tabula_ikm!G$16),COLUMN(tabula_ikm!G$1)+ROW(tabula_ikm!G6),1,1,"tabula_ikm")))</f>
        <v>137.90323599999999</v>
      </c>
      <c r="C178" s="33">
        <f ca="1">IF(INDIRECT(ADDRESS(ROW(tabula_ikm!G$16),COLUMN(tabula_ikm!G$1)+ROW(tabula_ikm!G6)+12,1,1,"tabula_ikm"))="","",INDIRECT(ADDRESS(ROW(tabula_ikm!G$16),COLUMN(tabula_ikm!G$1)+ROW(tabula_ikm!G6)+12,1,1,"tabula_ikm")))</f>
        <v>128.24976300000003</v>
      </c>
      <c r="D178" s="33" t="str">
        <f ca="1">IF(INDIRECT(ADDRESS(ROW(tabula_ikm!G$16),COLUMN(tabula_ikm!G$1)+ROW(tabula_ikm!G6)+24,1,1,"tabula_ikm"))="","",INDIRECT(ADDRESS(ROW(tabula_ikm!G$16),COLUMN(tabula_ikm!G$1)+ROW(tabula_ikm!G6)+24,1,1,"tabula_ikm")))</f>
        <v/>
      </c>
      <c r="E178" s="33">
        <f t="shared" ca="1" si="25"/>
        <v>-7.0001787340218442</v>
      </c>
      <c r="F178" s="33" t="e">
        <f t="shared" ca="1" si="26"/>
        <v>#N/A</v>
      </c>
      <c r="G178" s="34">
        <f t="shared" ca="1" si="27"/>
        <v>-7.0001787340218442</v>
      </c>
      <c r="H178" s="34" t="str">
        <f t="shared" ca="1" si="28"/>
        <v/>
      </c>
    </row>
    <row r="179" spans="1:8">
      <c r="A179" s="32" t="s">
        <v>14</v>
      </c>
      <c r="B179" s="33">
        <f ca="1">IF(INDIRECT(ADDRESS(ROW(tabula_ikm!G$16),COLUMN(tabula_ikm!G$1)+ROW(tabula_ikm!G7),1,1,"tabula_ikm"))="","",INDIRECT(ADDRESS(ROW(tabula_ikm!G$16),COLUMN(tabula_ikm!G$1)+ROW(tabula_ikm!G7),1,1,"tabula_ikm")))</f>
        <v>43.569983000000036</v>
      </c>
      <c r="C179" s="33">
        <f ca="1">IF(INDIRECT(ADDRESS(ROW(tabula_ikm!G$16),COLUMN(tabula_ikm!G$1)+ROW(tabula_ikm!G7)+12,1,1,"tabula_ikm"))="","",INDIRECT(ADDRESS(ROW(tabula_ikm!G$16),COLUMN(tabula_ikm!G$1)+ROW(tabula_ikm!G7)+12,1,1,"tabula_ikm")))</f>
        <v>133.11235799999997</v>
      </c>
      <c r="D179" s="33" t="str">
        <f ca="1">IF(INDIRECT(ADDRESS(ROW(tabula_ikm!G$16),COLUMN(tabula_ikm!G$1)+ROW(tabula_ikm!G7)+24,1,1,"tabula_ikm"))="","",INDIRECT(ADDRESS(ROW(tabula_ikm!G$16),COLUMN(tabula_ikm!G$1)+ROW(tabula_ikm!G7)+24,1,1,"tabula_ikm")))</f>
        <v/>
      </c>
      <c r="E179" s="33">
        <f t="shared" ca="1" si="25"/>
        <v>205.51390850898397</v>
      </c>
      <c r="F179" s="33" t="e">
        <f t="shared" ca="1" si="26"/>
        <v>#N/A</v>
      </c>
      <c r="G179" s="34">
        <f t="shared" ca="1" si="27"/>
        <v>205.51390850898397</v>
      </c>
      <c r="H179" s="34" t="str">
        <f t="shared" ca="1" si="28"/>
        <v/>
      </c>
    </row>
    <row r="180" spans="1:8">
      <c r="A180" s="32" t="s">
        <v>15</v>
      </c>
      <c r="B180" s="33">
        <f ca="1">IF(INDIRECT(ADDRESS(ROW(tabula_ikm!G$16),COLUMN(tabula_ikm!G$1)+ROW(tabula_ikm!G8),1,1,"tabula_ikm"))="","",INDIRECT(ADDRESS(ROW(tabula_ikm!G$16),COLUMN(tabula_ikm!G$1)+ROW(tabula_ikm!G8),1,1,"tabula_ikm")))</f>
        <v>43.156872000000021</v>
      </c>
      <c r="C180" s="33">
        <f ca="1">IF(INDIRECT(ADDRESS(ROW(tabula_ikm!G$16),COLUMN(tabula_ikm!G$1)+ROW(tabula_ikm!G8)+12,1,1,"tabula_ikm"))="","",INDIRECT(ADDRESS(ROW(tabula_ikm!G$16),COLUMN(tabula_ikm!G$1)+ROW(tabula_ikm!G8)+12,1,1,"tabula_ikm")))</f>
        <v>59.638622000000055</v>
      </c>
      <c r="D180" s="33" t="str">
        <f ca="1">IF(INDIRECT(ADDRESS(ROW(tabula_ikm!G$16),COLUMN(tabula_ikm!G$1)+ROW(tabula_ikm!G8)+24,1,1,"tabula_ikm"))="","",INDIRECT(ADDRESS(ROW(tabula_ikm!G$16),COLUMN(tabula_ikm!G$1)+ROW(tabula_ikm!G8)+24,1,1,"tabula_ikm")))</f>
        <v/>
      </c>
      <c r="E180" s="33">
        <f t="shared" ca="1" si="25"/>
        <v>38.190325749280497</v>
      </c>
      <c r="F180" s="33" t="e">
        <f t="shared" ca="1" si="26"/>
        <v>#N/A</v>
      </c>
      <c r="G180" s="34">
        <f t="shared" ca="1" si="27"/>
        <v>38.190325749280497</v>
      </c>
      <c r="H180" s="34" t="str">
        <f t="shared" ca="1" si="28"/>
        <v/>
      </c>
    </row>
    <row r="181" spans="1:8">
      <c r="A181" s="32" t="s">
        <v>16</v>
      </c>
      <c r="B181" s="33">
        <f ca="1">IF(INDIRECT(ADDRESS(ROW(tabula_ikm!G$16),COLUMN(tabula_ikm!G$1)+ROW(tabula_ikm!G9),1,1,"tabula_ikm"))="","",INDIRECT(ADDRESS(ROW(tabula_ikm!G$16),COLUMN(tabula_ikm!G$1)+ROW(tabula_ikm!G9),1,1,"tabula_ikm")))</f>
        <v>57.070799999999963</v>
      </c>
      <c r="C181" s="33">
        <f ca="1">IF(INDIRECT(ADDRESS(ROW(tabula_ikm!G$16),COLUMN(tabula_ikm!G$1)+ROW(tabula_ikm!G9)+12,1,1,"tabula_ikm"))="","",INDIRECT(ADDRESS(ROW(tabula_ikm!G$16),COLUMN(tabula_ikm!G$1)+ROW(tabula_ikm!G9)+12,1,1,"tabula_ikm")))</f>
        <v>41.622447999999963</v>
      </c>
      <c r="D181" s="33" t="str">
        <f ca="1">IF(INDIRECT(ADDRESS(ROW(tabula_ikm!G$16),COLUMN(tabula_ikm!G$1)+ROW(tabula_ikm!G9)+24,1,1,"tabula_ikm"))="","",INDIRECT(ADDRESS(ROW(tabula_ikm!G$16),COLUMN(tabula_ikm!G$1)+ROW(tabula_ikm!G9)+24,1,1,"tabula_ikm")))</f>
        <v/>
      </c>
      <c r="E181" s="33">
        <f t="shared" ca="1" si="25"/>
        <v>-27.068749693363348</v>
      </c>
      <c r="F181" s="33" t="e">
        <f t="shared" ca="1" si="26"/>
        <v>#N/A</v>
      </c>
      <c r="G181" s="34">
        <f t="shared" ca="1" si="27"/>
        <v>-27.068749693363348</v>
      </c>
      <c r="H181" s="34" t="str">
        <f t="shared" ca="1" si="28"/>
        <v/>
      </c>
    </row>
    <row r="182" spans="1:8">
      <c r="A182" s="32" t="s">
        <v>17</v>
      </c>
      <c r="B182" s="33">
        <f ca="1">IF(INDIRECT(ADDRESS(ROW(tabula_ikm!G$16),COLUMN(tabula_ikm!G$1)+ROW(tabula_ikm!G10),1,1,"tabula_ikm"))="","",INDIRECT(ADDRESS(ROW(tabula_ikm!G$16),COLUMN(tabula_ikm!G$1)+ROW(tabula_ikm!G10),1,1,"tabula_ikm")))</f>
        <v>48.487023000000022</v>
      </c>
      <c r="C182" s="33">
        <f ca="1">IF(INDIRECT(ADDRESS(ROW(tabula_ikm!G$16),COLUMN(tabula_ikm!G$1)+ROW(tabula_ikm!G10)+12,1,1,"tabula_ikm"))="","",INDIRECT(ADDRESS(ROW(tabula_ikm!G$16),COLUMN(tabula_ikm!G$1)+ROW(tabula_ikm!G10)+12,1,1,"tabula_ikm")))</f>
        <v>49.702570000000037</v>
      </c>
      <c r="D182" s="33" t="str">
        <f ca="1">IF(INDIRECT(ADDRESS(ROW(tabula_ikm!G$16),COLUMN(tabula_ikm!G$1)+ROW(tabula_ikm!G10)+24,1,1,"tabula_ikm"))="","",INDIRECT(ADDRESS(ROW(tabula_ikm!G$16),COLUMN(tabula_ikm!G$1)+ROW(tabula_ikm!G10)+24,1,1,"tabula_ikm")))</f>
        <v/>
      </c>
      <c r="E182" s="33">
        <f t="shared" ca="1" si="25"/>
        <v>2.5069532522135063</v>
      </c>
      <c r="F182" s="33" t="e">
        <f t="shared" ca="1" si="26"/>
        <v>#N/A</v>
      </c>
      <c r="G182" s="34">
        <f t="shared" ca="1" si="27"/>
        <v>2.5069532522135063</v>
      </c>
      <c r="H182" s="34" t="str">
        <f t="shared" ca="1" si="28"/>
        <v/>
      </c>
    </row>
    <row r="183" spans="1:8">
      <c r="A183" s="32" t="s">
        <v>18</v>
      </c>
      <c r="B183" s="33">
        <f ca="1">IF(INDIRECT(ADDRESS(ROW(tabula_ikm!G$16),COLUMN(tabula_ikm!G$1)+ROW(tabula_ikm!G11),1,1,"tabula_ikm"))="","",INDIRECT(ADDRESS(ROW(tabula_ikm!G$16),COLUMN(tabula_ikm!G$1)+ROW(tabula_ikm!G11),1,1,"tabula_ikm")))</f>
        <v>40.267897999999946</v>
      </c>
      <c r="C183" s="33">
        <f ca="1">IF(INDIRECT(ADDRESS(ROW(tabula_ikm!G$16),COLUMN(tabula_ikm!G$1)+ROW(tabula_ikm!G11)+12,1,1,"tabula_ikm"))="","",INDIRECT(ADDRESS(ROW(tabula_ikm!G$16),COLUMN(tabula_ikm!G$1)+ROW(tabula_ikm!G11)+12,1,1,"tabula_ikm")))</f>
        <v>59.671256999999969</v>
      </c>
      <c r="D183" s="33" t="str">
        <f ca="1">IF(INDIRECT(ADDRESS(ROW(tabula_ikm!G$16),COLUMN(tabula_ikm!G$1)+ROW(tabula_ikm!G11)+24,1,1,"tabula_ikm"))="","",INDIRECT(ADDRESS(ROW(tabula_ikm!G$16),COLUMN(tabula_ikm!G$1)+ROW(tabula_ikm!G11)+24,1,1,"tabula_ikm")))</f>
        <v/>
      </c>
      <c r="E183" s="33">
        <f t="shared" ca="1" si="25"/>
        <v>48.185676341983495</v>
      </c>
      <c r="F183" s="33" t="e">
        <f t="shared" ca="1" si="26"/>
        <v>#N/A</v>
      </c>
      <c r="G183" s="34">
        <f t="shared" ca="1" si="27"/>
        <v>48.185676341983495</v>
      </c>
      <c r="H183" s="34" t="str">
        <f t="shared" ca="1" si="28"/>
        <v/>
      </c>
    </row>
    <row r="184" spans="1:8">
      <c r="A184" s="32" t="s">
        <v>19</v>
      </c>
      <c r="B184" s="33">
        <f ca="1">IF(INDIRECT(ADDRESS(ROW(tabula_ikm!G$16),COLUMN(tabula_ikm!G$1)+ROW(tabula_ikm!G12),1,1,"tabula_ikm"))="","",INDIRECT(ADDRESS(ROW(tabula_ikm!G$16),COLUMN(tabula_ikm!G$1)+ROW(tabula_ikm!G12),1,1,"tabula_ikm")))</f>
        <v>50.335583000000042</v>
      </c>
      <c r="C184" s="33">
        <f ca="1">IF(INDIRECT(ADDRESS(ROW(tabula_ikm!G$16),COLUMN(tabula_ikm!G$1)+ROW(tabula_ikm!G12)+12,1,1,"tabula_ikm"))="","",INDIRECT(ADDRESS(ROW(tabula_ikm!G$16),COLUMN(tabula_ikm!G$1)+ROW(tabula_ikm!G12)+12,1,1,"tabula_ikm")))</f>
        <v>51.171358999999939</v>
      </c>
      <c r="D184" s="33" t="str">
        <f ca="1">IF(INDIRECT(ADDRESS(ROW(tabula_ikm!G$16),COLUMN(tabula_ikm!G$1)+ROW(tabula_ikm!G12)+24,1,1,"tabula_ikm"))="","",INDIRECT(ADDRESS(ROW(tabula_ikm!G$16),COLUMN(tabula_ikm!G$1)+ROW(tabula_ikm!G12)+24,1,1,"tabula_ikm")))</f>
        <v/>
      </c>
      <c r="E184" s="33">
        <f t="shared" ca="1" si="25"/>
        <v>1.6604079066689259</v>
      </c>
      <c r="F184" s="33" t="e">
        <f t="shared" ca="1" si="26"/>
        <v>#N/A</v>
      </c>
      <c r="G184" s="34">
        <f t="shared" ca="1" si="27"/>
        <v>1.6604079066689259</v>
      </c>
      <c r="H184" s="34" t="str">
        <f t="shared" ca="1" si="28"/>
        <v/>
      </c>
    </row>
    <row r="185" spans="1:8">
      <c r="A185" s="35" t="s">
        <v>21</v>
      </c>
      <c r="B185" s="36">
        <f ca="1">SUM(B173:B184)</f>
        <v>774.009995</v>
      </c>
      <c r="C185" s="36">
        <f ca="1">SUM(C173:C184)</f>
        <v>847.58404599999994</v>
      </c>
      <c r="D185" s="36">
        <f ca="1">SUM(D173:D184)</f>
        <v>233.35944799999999</v>
      </c>
      <c r="E185" s="36">
        <f ca="1">IFERROR((C185/B185-1)*100,"")</f>
        <v>9.5055685941109793</v>
      </c>
      <c r="F185" s="36">
        <f ca="1">IFERROR((D185/C185-1)*100,"")</f>
        <v>-72.467692248185614</v>
      </c>
      <c r="G185" s="36">
        <f t="shared" ref="G185" ca="1" si="29">IFERROR((C185/B185-1)*100,"")</f>
        <v>9.5055685941109793</v>
      </c>
      <c r="H185" s="36">
        <f t="shared" ref="H185" ca="1" si="30">IFERROR((D185/C185-1)*100,"")</f>
        <v>-72.467692248185614</v>
      </c>
    </row>
    <row r="186" spans="1:8">
      <c r="A186" s="42"/>
      <c r="B186" s="39"/>
      <c r="C186" s="39"/>
      <c r="D186" s="39"/>
      <c r="E186" s="39"/>
      <c r="F186" s="39"/>
      <c r="G186" s="43"/>
      <c r="H186" s="43"/>
    </row>
    <row r="187" spans="1:8">
      <c r="A187" s="42"/>
      <c r="B187" s="39"/>
      <c r="C187" s="39"/>
      <c r="D187" s="39"/>
      <c r="E187" s="39"/>
      <c r="F187" s="39"/>
      <c r="G187" s="43"/>
      <c r="H187" s="43"/>
    </row>
    <row r="188" spans="1:8">
      <c r="A188" s="42"/>
      <c r="B188" s="39"/>
      <c r="C188" s="39"/>
      <c r="D188" s="39"/>
      <c r="E188" s="39"/>
      <c r="F188" s="39"/>
      <c r="G188" s="43"/>
      <c r="H188" s="43"/>
    </row>
    <row r="189" spans="1:8">
      <c r="A189" s="42"/>
      <c r="B189" s="39"/>
      <c r="C189" s="39"/>
      <c r="D189" s="39"/>
      <c r="E189" s="39"/>
      <c r="F189" s="39"/>
      <c r="G189" s="43"/>
      <c r="H189" s="43"/>
    </row>
    <row r="190" spans="1:8">
      <c r="A190" s="42"/>
      <c r="B190" s="39"/>
      <c r="C190" s="39"/>
      <c r="D190" s="39"/>
      <c r="E190" s="39"/>
      <c r="F190" s="39"/>
      <c r="G190" s="43"/>
      <c r="H190" s="43"/>
    </row>
    <row r="191" spans="1:8">
      <c r="A191" s="42"/>
      <c r="B191" s="39"/>
      <c r="C191" s="39"/>
      <c r="D191" s="39"/>
      <c r="E191" s="39"/>
      <c r="F191" s="39"/>
      <c r="G191" s="43"/>
      <c r="H191" s="43"/>
    </row>
    <row r="192" spans="1:8">
      <c r="A192" s="42"/>
      <c r="B192" s="39"/>
      <c r="C192" s="39"/>
      <c r="D192" s="39"/>
      <c r="E192" s="39"/>
      <c r="F192" s="39"/>
      <c r="G192" s="43"/>
      <c r="H192" s="43"/>
    </row>
    <row r="193" spans="1:9">
      <c r="A193" s="42"/>
      <c r="B193" s="39"/>
      <c r="C193" s="39"/>
      <c r="D193" s="39"/>
      <c r="E193" s="39"/>
      <c r="F193" s="39"/>
      <c r="G193" s="43"/>
      <c r="H193" s="43"/>
    </row>
    <row r="194" spans="1:9">
      <c r="A194" s="42"/>
      <c r="B194" s="39"/>
      <c r="C194" s="39"/>
      <c r="D194" s="39"/>
      <c r="E194" s="39"/>
      <c r="F194" s="39"/>
      <c r="G194" s="43"/>
      <c r="H194" s="43"/>
    </row>
    <row r="195" spans="1:9">
      <c r="A195" s="42"/>
      <c r="B195" s="39"/>
      <c r="C195" s="39"/>
      <c r="D195" s="39"/>
      <c r="E195" s="39"/>
      <c r="F195" s="39"/>
      <c r="G195" s="43"/>
      <c r="H195" s="43"/>
    </row>
    <row r="196" spans="1:9">
      <c r="A196" s="42"/>
      <c r="B196" s="39"/>
      <c r="C196" s="39"/>
      <c r="D196" s="39"/>
      <c r="E196" s="39"/>
      <c r="F196" s="39"/>
      <c r="G196" s="43"/>
      <c r="H196" s="43"/>
    </row>
    <row r="197" spans="1:9">
      <c r="A197" s="42"/>
      <c r="B197" s="39"/>
      <c r="C197" s="39"/>
      <c r="D197" s="39"/>
      <c r="E197" s="39"/>
      <c r="F197" s="39"/>
      <c r="G197" s="43"/>
      <c r="H197" s="43"/>
    </row>
    <row r="198" spans="1:9">
      <c r="A198" s="42"/>
      <c r="B198" s="39"/>
      <c r="C198" s="39"/>
      <c r="D198" s="39"/>
      <c r="E198" s="39"/>
      <c r="F198" s="39"/>
      <c r="G198" s="43"/>
      <c r="H198" s="43"/>
    </row>
    <row r="199" spans="1:9">
      <c r="A199" s="42"/>
      <c r="B199" s="39"/>
      <c r="C199" s="39"/>
      <c r="D199" s="39"/>
      <c r="E199" s="39"/>
      <c r="F199" s="39"/>
      <c r="G199" s="43"/>
      <c r="H199" s="43"/>
    </row>
    <row r="200" spans="1:9">
      <c r="A200" s="42"/>
      <c r="B200" s="39"/>
      <c r="C200" s="39"/>
      <c r="D200" s="39"/>
      <c r="E200" s="39"/>
      <c r="F200" s="39"/>
      <c r="G200" s="43"/>
      <c r="H200" s="43"/>
    </row>
    <row r="201" spans="1:9">
      <c r="A201" s="102" t="s">
        <v>30</v>
      </c>
      <c r="B201" s="103"/>
      <c r="C201" s="103"/>
      <c r="D201" s="103"/>
      <c r="E201" s="103"/>
      <c r="F201" s="103"/>
      <c r="G201" s="103"/>
      <c r="H201" s="104"/>
    </row>
    <row r="202" spans="1:9" ht="15" customHeight="1">
      <c r="A202" s="26" t="s">
        <v>5</v>
      </c>
      <c r="B202" s="99" t="s">
        <v>177</v>
      </c>
      <c r="C202" s="101"/>
      <c r="D202" s="100"/>
      <c r="E202" s="99" t="s">
        <v>2</v>
      </c>
      <c r="F202" s="100"/>
      <c r="G202" s="99" t="s">
        <v>2</v>
      </c>
      <c r="H202" s="100"/>
    </row>
    <row r="203" spans="1:9">
      <c r="A203" s="27">
        <v>1</v>
      </c>
      <c r="B203" s="28">
        <v>2</v>
      </c>
      <c r="C203" s="28">
        <v>3</v>
      </c>
      <c r="D203" s="28">
        <v>4</v>
      </c>
      <c r="E203" s="29" t="s">
        <v>71</v>
      </c>
      <c r="F203" s="29" t="s">
        <v>72</v>
      </c>
      <c r="G203" s="29" t="s">
        <v>71</v>
      </c>
      <c r="H203" s="29" t="s">
        <v>72</v>
      </c>
    </row>
    <row r="204" spans="1:9">
      <c r="A204" s="30"/>
      <c r="B204" s="28" t="s">
        <v>23</v>
      </c>
      <c r="C204" s="28" t="s">
        <v>6</v>
      </c>
      <c r="D204" s="28" t="s">
        <v>7</v>
      </c>
      <c r="E204" s="28" t="s">
        <v>6</v>
      </c>
      <c r="F204" s="28" t="s">
        <v>7</v>
      </c>
      <c r="G204" s="27" t="s">
        <v>6</v>
      </c>
      <c r="H204" s="27" t="s">
        <v>7</v>
      </c>
    </row>
    <row r="205" spans="1:9" ht="29">
      <c r="A205" s="31"/>
      <c r="B205" s="26">
        <v>2021</v>
      </c>
      <c r="C205" s="26">
        <v>2022</v>
      </c>
      <c r="D205" s="26">
        <v>2023</v>
      </c>
      <c r="E205" s="26" t="s">
        <v>74</v>
      </c>
      <c r="F205" s="26" t="s">
        <v>73</v>
      </c>
      <c r="G205" s="26" t="s">
        <v>162</v>
      </c>
      <c r="H205" s="26" t="s">
        <v>73</v>
      </c>
    </row>
    <row r="206" spans="1:9">
      <c r="A206" s="32" t="s">
        <v>8</v>
      </c>
      <c r="B206" s="33">
        <f ca="1">IF(INDIRECT(ADDRESS(ROW(tabula_ikm!G$8),COLUMN(tabula_ikm!G$1)+ROW(tabula_ikm!G1),1,1,"tabula_ikm"))="","",INDIRECT(ADDRESS(ROW(tabula_ikm!G$8),COLUMN(tabula_ikm!G$1)+ROW(tabula_ikm!G1),1,1,"tabula_ikm")))</f>
        <v>108.444799</v>
      </c>
      <c r="C206" s="33">
        <f ca="1">IF(INDIRECT(ADDRESS(ROW(tabula_ikm!G$8),COLUMN(tabula_ikm!G$1)+ROW(tabula_ikm!G1)+12,1,1,"tabula_ikm"))="","",INDIRECT(ADDRESS(ROW(tabula_ikm!G$8),COLUMN(tabula_ikm!G$1)+ROW(tabula_ikm!G1)+12,1,1,"tabula_ikm")))</f>
        <v>-100.505827</v>
      </c>
      <c r="D206" s="33">
        <f ca="1">IF(INDIRECT(ADDRESS(ROW(tabula_ikm!G$8),COLUMN(tabula_ikm!G$1)+ROW(tabula_ikm!G1)+24,1,1,"tabula_ikm"))="","",INDIRECT(ADDRESS(ROW(tabula_ikm!G$8),COLUMN(tabula_ikm!G$1)+ROW(tabula_ikm!G1)+24,1,1,"tabula_ikm")))</f>
        <v>-129.655012</v>
      </c>
      <c r="E206" s="33">
        <f ca="1">IFERROR((C206/B206-1)*100,NA())</f>
        <v>-192.67925057429446</v>
      </c>
      <c r="F206" s="33">
        <f ca="1">IFERROR((D206/C206-1)*100,NA())</f>
        <v>29.002482612276804</v>
      </c>
      <c r="G206" s="34">
        <f ca="1">IFERROR((C206/B206-1)*100,"")</f>
        <v>-192.67925057429446</v>
      </c>
      <c r="H206" s="34">
        <f ca="1">IFERROR((D206/C206-1)*100,"")</f>
        <v>29.002482612276804</v>
      </c>
      <c r="I206" s="2">
        <f ca="1">IFERROR((E206/D206-1)*100,"")</f>
        <v>48.609180317915104</v>
      </c>
    </row>
    <row r="207" spans="1:9">
      <c r="A207" s="32" t="s">
        <v>9</v>
      </c>
      <c r="B207" s="33">
        <f ca="1">IF(INDIRECT(ADDRESS(ROW(tabula_ikm!G$8),COLUMN(tabula_ikm!G$1)+ROW(tabula_ikm!G2),1,1,"tabula_ikm"))="","",INDIRECT(ADDRESS(ROW(tabula_ikm!G$8),COLUMN(tabula_ikm!G$1)+ROW(tabula_ikm!G2),1,1,"tabula_ikm")))</f>
        <v>16.010897</v>
      </c>
      <c r="C207" s="33">
        <f ca="1">IF(INDIRECT(ADDRESS(ROW(tabula_ikm!G$8),COLUMN(tabula_ikm!G$1)+ROW(tabula_ikm!G2)+12,1,1,"tabula_ikm"))="","",INDIRECT(ADDRESS(ROW(tabula_ikm!G$8),COLUMN(tabula_ikm!G$1)+ROW(tabula_ikm!G2)+12,1,1,"tabula_ikm")))</f>
        <v>9.4562999999993735E-2</v>
      </c>
      <c r="D207" s="33">
        <f ca="1">IF(INDIRECT(ADDRESS(ROW(tabula_ikm!G$8),COLUMN(tabula_ikm!G$1)+ROW(tabula_ikm!G2)+24,1,1,"tabula_ikm"))="","",INDIRECT(ADDRESS(ROW(tabula_ikm!G$8),COLUMN(tabula_ikm!G$1)+ROW(tabula_ikm!G2)+24,1,1,"tabula_ikm")))</f>
        <v>6.4317829999999958</v>
      </c>
      <c r="E207" s="33">
        <f t="shared" ref="E207:E217" ca="1" si="31">IFERROR((C207/B207-1)*100,NA())</f>
        <v>-99.409383496752284</v>
      </c>
      <c r="F207" s="33">
        <f t="shared" ref="F207:F217" ca="1" si="32">IFERROR((D207/C207-1)*100,NA())</f>
        <v>6701.5851865956265</v>
      </c>
      <c r="G207" s="34">
        <f t="shared" ref="G207:G217" ca="1" si="33">IFERROR((C207/B207-1)*100,"")</f>
        <v>-99.409383496752284</v>
      </c>
      <c r="H207" s="34">
        <f t="shared" ref="H207:H218" ca="1" si="34">IFERROR((D207/C207-1)*100,"")</f>
        <v>6701.5851865956265</v>
      </c>
    </row>
    <row r="208" spans="1:9">
      <c r="A208" s="32" t="s">
        <v>10</v>
      </c>
      <c r="B208" s="33">
        <f ca="1">IF(INDIRECT(ADDRESS(ROW(tabula_ikm!G$8),COLUMN(tabula_ikm!G$1)+ROW(tabula_ikm!G3),1,1,"tabula_ikm"))="","",INDIRECT(ADDRESS(ROW(tabula_ikm!G$8),COLUMN(tabula_ikm!G$1)+ROW(tabula_ikm!G3),1,1,"tabula_ikm")))</f>
        <v>46.65334</v>
      </c>
      <c r="C208" s="33">
        <f ca="1">IF(INDIRECT(ADDRESS(ROW(tabula_ikm!G$8),COLUMN(tabula_ikm!G$1)+ROW(tabula_ikm!G3)+12,1,1,"tabula_ikm"))="","",INDIRECT(ADDRESS(ROW(tabula_ikm!G$8),COLUMN(tabula_ikm!G$1)+ROW(tabula_ikm!G3)+12,1,1,"tabula_ikm")))</f>
        <v>39.035239000000004</v>
      </c>
      <c r="D208" s="33">
        <f ca="1">IF(INDIRECT(ADDRESS(ROW(tabula_ikm!G$8),COLUMN(tabula_ikm!G$1)+ROW(tabula_ikm!G3)+24,1,1,"tabula_ikm"))="","",INDIRECT(ADDRESS(ROW(tabula_ikm!G$8),COLUMN(tabula_ikm!G$1)+ROW(tabula_ikm!G3)+24,1,1,"tabula_ikm")))</f>
        <v>-11.924211999999983</v>
      </c>
      <c r="E208" s="33">
        <f t="shared" ca="1" si="31"/>
        <v>-16.329165285915217</v>
      </c>
      <c r="F208" s="33">
        <f t="shared" ca="1" si="32"/>
        <v>-130.54730111938082</v>
      </c>
      <c r="G208" s="34">
        <f t="shared" ca="1" si="33"/>
        <v>-16.329165285915217</v>
      </c>
      <c r="H208" s="34">
        <f t="shared" ca="1" si="34"/>
        <v>-130.54730111938082</v>
      </c>
    </row>
    <row r="209" spans="1:8">
      <c r="A209" s="32" t="s">
        <v>11</v>
      </c>
      <c r="B209" s="33">
        <f ca="1">IF(INDIRECT(ADDRESS(ROW(tabula_ikm!G$8),COLUMN(tabula_ikm!G$1)+ROW(tabula_ikm!G4),1,1,"tabula_ikm"))="","",INDIRECT(ADDRESS(ROW(tabula_ikm!G$8),COLUMN(tabula_ikm!G$1)+ROW(tabula_ikm!G4),1,1,"tabula_ikm")))</f>
        <v>57.285142000000008</v>
      </c>
      <c r="C209" s="33">
        <f ca="1">IF(INDIRECT(ADDRESS(ROW(tabula_ikm!G$8),COLUMN(tabula_ikm!G$1)+ROW(tabula_ikm!G4)+12,1,1,"tabula_ikm"))="","",INDIRECT(ADDRESS(ROW(tabula_ikm!G$8),COLUMN(tabula_ikm!G$1)+ROW(tabula_ikm!G4)+12,1,1,"tabula_ikm")))</f>
        <v>4.7994270000000014</v>
      </c>
      <c r="D209" s="33">
        <f ca="1">IF(INDIRECT(ADDRESS(ROW(tabula_ikm!G$8),COLUMN(tabula_ikm!G$1)+ROW(tabula_ikm!G4)+24,1,1,"tabula_ikm"))="","",INDIRECT(ADDRESS(ROW(tabula_ikm!G$8),COLUMN(tabula_ikm!G$1)+ROW(tabula_ikm!G4)+24,1,1,"tabula_ikm")))</f>
        <v>18.271029999999982</v>
      </c>
      <c r="E209" s="33">
        <f t="shared" ca="1" si="31"/>
        <v>-91.621864182513505</v>
      </c>
      <c r="F209" s="33">
        <f t="shared" ca="1" si="32"/>
        <v>280.69190342930472</v>
      </c>
      <c r="G209" s="34">
        <f t="shared" ca="1" si="33"/>
        <v>-91.621864182513505</v>
      </c>
      <c r="H209" s="34">
        <f t="shared" ca="1" si="34"/>
        <v>280.69190342930472</v>
      </c>
    </row>
    <row r="210" spans="1:8">
      <c r="A210" s="32" t="s">
        <v>12</v>
      </c>
      <c r="B210" s="33">
        <f ca="1">IF(INDIRECT(ADDRESS(ROW(tabula_ikm!G$8),COLUMN(tabula_ikm!G$1)+ROW(tabula_ikm!G5),1,1,"tabula_ikm"))="","",INDIRECT(ADDRESS(ROW(tabula_ikm!G$8),COLUMN(tabula_ikm!G$1)+ROW(tabula_ikm!G5),1,1,"tabula_ikm")))</f>
        <v>74.044946999999979</v>
      </c>
      <c r="C210" s="33">
        <f ca="1">IF(INDIRECT(ADDRESS(ROW(tabula_ikm!G$8),COLUMN(tabula_ikm!G$1)+ROW(tabula_ikm!G5)+12,1,1,"tabula_ikm"))="","",INDIRECT(ADDRESS(ROW(tabula_ikm!G$8),COLUMN(tabula_ikm!G$1)+ROW(tabula_ikm!G5)+12,1,1,"tabula_ikm")))</f>
        <v>59.771283999999994</v>
      </c>
      <c r="D210" s="33" t="str">
        <f ca="1">IF(INDIRECT(ADDRESS(ROW(tabula_ikm!G$8),COLUMN(tabula_ikm!G$1)+ROW(tabula_ikm!G5)+24,1,1,"tabula_ikm"))="","",INDIRECT(ADDRESS(ROW(tabula_ikm!G$8),COLUMN(tabula_ikm!G$1)+ROW(tabula_ikm!G5)+24,1,1,"tabula_ikm")))</f>
        <v/>
      </c>
      <c r="E210" s="33">
        <f t="shared" ca="1" si="31"/>
        <v>-19.277025075053388</v>
      </c>
      <c r="F210" s="33" t="e">
        <f t="shared" ca="1" si="32"/>
        <v>#N/A</v>
      </c>
      <c r="G210" s="34">
        <f t="shared" ca="1" si="33"/>
        <v>-19.277025075053388</v>
      </c>
      <c r="H210" s="34" t="str">
        <f t="shared" ca="1" si="34"/>
        <v/>
      </c>
    </row>
    <row r="211" spans="1:8">
      <c r="A211" s="32" t="s">
        <v>13</v>
      </c>
      <c r="B211" s="33">
        <f ca="1">IF(INDIRECT(ADDRESS(ROW(tabula_ikm!G$8),COLUMN(tabula_ikm!G$1)+ROW(tabula_ikm!G6),1,1,"tabula_ikm"))="","",INDIRECT(ADDRESS(ROW(tabula_ikm!G$8),COLUMN(tabula_ikm!G$1)+ROW(tabula_ikm!G6),1,1,"tabula_ikm")))</f>
        <v>-38.021982999999977</v>
      </c>
      <c r="C211" s="33">
        <f ca="1">IF(INDIRECT(ADDRESS(ROW(tabula_ikm!G$8),COLUMN(tabula_ikm!G$1)+ROW(tabula_ikm!G6)+12,1,1,"tabula_ikm"))="","",INDIRECT(ADDRESS(ROW(tabula_ikm!G$8),COLUMN(tabula_ikm!G$1)+ROW(tabula_ikm!G6)+12,1,1,"tabula_ikm")))</f>
        <v>-106.985738</v>
      </c>
      <c r="D211" s="33" t="str">
        <f ca="1">IF(INDIRECT(ADDRESS(ROW(tabula_ikm!G$8),COLUMN(tabula_ikm!G$1)+ROW(tabula_ikm!G6)+24,1,1,"tabula_ikm"))="","",INDIRECT(ADDRESS(ROW(tabula_ikm!G$8),COLUMN(tabula_ikm!G$1)+ROW(tabula_ikm!G6)+24,1,1,"tabula_ikm")))</f>
        <v/>
      </c>
      <c r="E211" s="33">
        <f t="shared" ca="1" si="31"/>
        <v>181.37863824724781</v>
      </c>
      <c r="F211" s="33" t="e">
        <f t="shared" ca="1" si="32"/>
        <v>#N/A</v>
      </c>
      <c r="G211" s="34">
        <f t="shared" ca="1" si="33"/>
        <v>181.37863824724781</v>
      </c>
      <c r="H211" s="34" t="str">
        <f t="shared" ca="1" si="34"/>
        <v/>
      </c>
    </row>
    <row r="212" spans="1:8">
      <c r="A212" s="32" t="s">
        <v>14</v>
      </c>
      <c r="B212" s="33">
        <f ca="1">IF(INDIRECT(ADDRESS(ROW(tabula_ikm!G$8),COLUMN(tabula_ikm!G$1)+ROW(tabula_ikm!G7),1,1,"tabula_ikm"))="","",INDIRECT(ADDRESS(ROW(tabula_ikm!G$8),COLUMN(tabula_ikm!G$1)+ROW(tabula_ikm!G7),1,1,"tabula_ikm")))</f>
        <v>6.8669709999999782</v>
      </c>
      <c r="C212" s="33">
        <f ca="1">IF(INDIRECT(ADDRESS(ROW(tabula_ikm!G$8),COLUMN(tabula_ikm!G$1)+ROW(tabula_ikm!G7)+12,1,1,"tabula_ikm"))="","",INDIRECT(ADDRESS(ROW(tabula_ikm!G$8),COLUMN(tabula_ikm!G$1)+ROW(tabula_ikm!G7)+12,1,1,"tabula_ikm")))</f>
        <v>10.12218399999999</v>
      </c>
      <c r="D212" s="33" t="str">
        <f ca="1">IF(INDIRECT(ADDRESS(ROW(tabula_ikm!G$8),COLUMN(tabula_ikm!G$1)+ROW(tabula_ikm!G7)+24,1,1,"tabula_ikm"))="","",INDIRECT(ADDRESS(ROW(tabula_ikm!G$8),COLUMN(tabula_ikm!G$1)+ROW(tabula_ikm!G7)+24,1,1,"tabula_ikm")))</f>
        <v/>
      </c>
      <c r="E212" s="33">
        <f t="shared" ca="1" si="31"/>
        <v>47.403913603246941</v>
      </c>
      <c r="F212" s="33" t="e">
        <f t="shared" ca="1" si="32"/>
        <v>#N/A</v>
      </c>
      <c r="G212" s="34">
        <f t="shared" ca="1" si="33"/>
        <v>47.403913603246941</v>
      </c>
      <c r="H212" s="34" t="str">
        <f t="shared" ca="1" si="34"/>
        <v/>
      </c>
    </row>
    <row r="213" spans="1:8">
      <c r="A213" s="32" t="s">
        <v>15</v>
      </c>
      <c r="B213" s="33">
        <f ca="1">IF(INDIRECT(ADDRESS(ROW(tabula_ikm!G$8),COLUMN(tabula_ikm!G$1)+ROW(tabula_ikm!G8),1,1,"tabula_ikm"))="","",INDIRECT(ADDRESS(ROW(tabula_ikm!G$8),COLUMN(tabula_ikm!G$1)+ROW(tabula_ikm!G8),1,1,"tabula_ikm")))</f>
        <v>4.1647899999999822</v>
      </c>
      <c r="C213" s="33">
        <f ca="1">IF(INDIRECT(ADDRESS(ROW(tabula_ikm!G$8),COLUMN(tabula_ikm!G$1)+ROW(tabula_ikm!G8)+12,1,1,"tabula_ikm"))="","",INDIRECT(ADDRESS(ROW(tabula_ikm!G$8),COLUMN(tabula_ikm!G$1)+ROW(tabula_ikm!G8)+12,1,1,"tabula_ikm")))</f>
        <v>-22.738039000000001</v>
      </c>
      <c r="D213" s="33" t="str">
        <f ca="1">IF(INDIRECT(ADDRESS(ROW(tabula_ikm!G$8),COLUMN(tabula_ikm!G$1)+ROW(tabula_ikm!G8)+24,1,1,"tabula_ikm"))="","",INDIRECT(ADDRESS(ROW(tabula_ikm!G$8),COLUMN(tabula_ikm!G$1)+ROW(tabula_ikm!G8)+24,1,1,"tabula_ikm")))</f>
        <v/>
      </c>
      <c r="E213" s="33">
        <f t="shared" ca="1" si="31"/>
        <v>-645.95883585967351</v>
      </c>
      <c r="F213" s="33" t="e">
        <f t="shared" ca="1" si="32"/>
        <v>#N/A</v>
      </c>
      <c r="G213" s="34">
        <f t="shared" ca="1" si="33"/>
        <v>-645.95883585967351</v>
      </c>
      <c r="H213" s="34" t="str">
        <f t="shared" ca="1" si="34"/>
        <v/>
      </c>
    </row>
    <row r="214" spans="1:8">
      <c r="A214" s="32" t="s">
        <v>16</v>
      </c>
      <c r="B214" s="33">
        <f ca="1">IF(INDIRECT(ADDRESS(ROW(tabula_ikm!G$8),COLUMN(tabula_ikm!G$1)+ROW(tabula_ikm!G9),1,1,"tabula_ikm"))="","",INDIRECT(ADDRESS(ROW(tabula_ikm!G$8),COLUMN(tabula_ikm!G$1)+ROW(tabula_ikm!G9),1,1,"tabula_ikm")))</f>
        <v>15.174666999999999</v>
      </c>
      <c r="C214" s="33">
        <f ca="1">IF(INDIRECT(ADDRESS(ROW(tabula_ikm!G$8),COLUMN(tabula_ikm!G$1)+ROW(tabula_ikm!G9)+12,1,1,"tabula_ikm"))="","",INDIRECT(ADDRESS(ROW(tabula_ikm!G$8),COLUMN(tabula_ikm!G$1)+ROW(tabula_ikm!G9)+12,1,1,"tabula_ikm")))</f>
        <v>16.212696000000008</v>
      </c>
      <c r="D214" s="33" t="str">
        <f ca="1">IF(INDIRECT(ADDRESS(ROW(tabula_ikm!G$8),COLUMN(tabula_ikm!G$1)+ROW(tabula_ikm!G9)+24,1,1,"tabula_ikm"))="","",INDIRECT(ADDRESS(ROW(tabula_ikm!G$8),COLUMN(tabula_ikm!G$1)+ROW(tabula_ikm!G9)+24,1,1,"tabula_ikm")))</f>
        <v/>
      </c>
      <c r="E214" s="33">
        <f t="shared" ca="1" si="31"/>
        <v>6.8405389060597344</v>
      </c>
      <c r="F214" s="33" t="e">
        <f t="shared" ca="1" si="32"/>
        <v>#N/A</v>
      </c>
      <c r="G214" s="34">
        <f t="shared" ca="1" si="33"/>
        <v>6.8405389060597344</v>
      </c>
      <c r="H214" s="34" t="str">
        <f t="shared" ca="1" si="34"/>
        <v/>
      </c>
    </row>
    <row r="215" spans="1:8">
      <c r="A215" s="32" t="s">
        <v>17</v>
      </c>
      <c r="B215" s="33">
        <f ca="1">IF(INDIRECT(ADDRESS(ROW(tabula_ikm!G$8),COLUMN(tabula_ikm!G$1)+ROW(tabula_ikm!G10),1,1,"tabula_ikm"))="","",INDIRECT(ADDRESS(ROW(tabula_ikm!G$8),COLUMN(tabula_ikm!G$1)+ROW(tabula_ikm!G10),1,1,"tabula_ikm")))</f>
        <v>-78.061942999999985</v>
      </c>
      <c r="C215" s="33">
        <f ca="1">IF(INDIRECT(ADDRESS(ROW(tabula_ikm!G$8),COLUMN(tabula_ikm!G$1)+ROW(tabula_ikm!G10)+12,1,1,"tabula_ikm"))="","",INDIRECT(ADDRESS(ROW(tabula_ikm!G$8),COLUMN(tabula_ikm!G$1)+ROW(tabula_ikm!G10)+12,1,1,"tabula_ikm")))</f>
        <v>-26.931325000000001</v>
      </c>
      <c r="D215" s="33" t="str">
        <f ca="1">IF(INDIRECT(ADDRESS(ROW(tabula_ikm!G$8),COLUMN(tabula_ikm!G$1)+ROW(tabula_ikm!G10)+24,1,1,"tabula_ikm"))="","",INDIRECT(ADDRESS(ROW(tabula_ikm!G$8),COLUMN(tabula_ikm!G$1)+ROW(tabula_ikm!G10)+24,1,1,"tabula_ikm")))</f>
        <v/>
      </c>
      <c r="E215" s="33">
        <f t="shared" ca="1" si="31"/>
        <v>-65.500058075674588</v>
      </c>
      <c r="F215" s="33" t="e">
        <f t="shared" ca="1" si="32"/>
        <v>#N/A</v>
      </c>
      <c r="G215" s="34">
        <f t="shared" ca="1" si="33"/>
        <v>-65.500058075674588</v>
      </c>
      <c r="H215" s="34" t="str">
        <f t="shared" ca="1" si="34"/>
        <v/>
      </c>
    </row>
    <row r="216" spans="1:8">
      <c r="A216" s="32" t="s">
        <v>18</v>
      </c>
      <c r="B216" s="33">
        <f ca="1">IF(INDIRECT(ADDRESS(ROW(tabula_ikm!G$8),COLUMN(tabula_ikm!G$1)+ROW(tabula_ikm!G11),1,1,"tabula_ikm"))="","",INDIRECT(ADDRESS(ROW(tabula_ikm!G$8),COLUMN(tabula_ikm!G$1)+ROW(tabula_ikm!G11),1,1,"tabula_ikm")))</f>
        <v>43.919421</v>
      </c>
      <c r="C216" s="33">
        <f ca="1">IF(INDIRECT(ADDRESS(ROW(tabula_ikm!G$8),COLUMN(tabula_ikm!G$1)+ROW(tabula_ikm!G11)+12,1,1,"tabula_ikm"))="","",INDIRECT(ADDRESS(ROW(tabula_ikm!G$8),COLUMN(tabula_ikm!G$1)+ROW(tabula_ikm!G11)+12,1,1,"tabula_ikm")))</f>
        <v>5.1394459999999924</v>
      </c>
      <c r="D216" s="33" t="str">
        <f ca="1">IF(INDIRECT(ADDRESS(ROW(tabula_ikm!G$8),COLUMN(tabula_ikm!G$1)+ROW(tabula_ikm!G11)+24,1,1,"tabula_ikm"))="","",INDIRECT(ADDRESS(ROW(tabula_ikm!G$8),COLUMN(tabula_ikm!G$1)+ROW(tabula_ikm!G11)+24,1,1,"tabula_ikm")))</f>
        <v/>
      </c>
      <c r="E216" s="33">
        <f t="shared" ca="1" si="31"/>
        <v>-88.298010577143103</v>
      </c>
      <c r="F216" s="33" t="e">
        <f t="shared" ca="1" si="32"/>
        <v>#N/A</v>
      </c>
      <c r="G216" s="34">
        <f t="shared" ca="1" si="33"/>
        <v>-88.298010577143103</v>
      </c>
      <c r="H216" s="34" t="str">
        <f t="shared" ca="1" si="34"/>
        <v/>
      </c>
    </row>
    <row r="217" spans="1:8">
      <c r="A217" s="32" t="s">
        <v>19</v>
      </c>
      <c r="B217" s="33">
        <f ca="1">IF(INDIRECT(ADDRESS(ROW(tabula_ikm!G$8),COLUMN(tabula_ikm!G$1)+ROW(tabula_ikm!G12),1,1,"tabula_ikm"))="","",INDIRECT(ADDRESS(ROW(tabula_ikm!G$8),COLUMN(tabula_ikm!G$1)+ROW(tabula_ikm!G12),1,1,"tabula_ikm")))</f>
        <v>89.553414000000032</v>
      </c>
      <c r="C217" s="33">
        <f ca="1">IF(INDIRECT(ADDRESS(ROW(tabula_ikm!G$8),COLUMN(tabula_ikm!G$1)+ROW(tabula_ikm!G12)+12,1,1,"tabula_ikm"))="","",INDIRECT(ADDRESS(ROW(tabula_ikm!G$8),COLUMN(tabula_ikm!G$1)+ROW(tabula_ikm!G12)+12,1,1,"tabula_ikm")))</f>
        <v>139.842378</v>
      </c>
      <c r="D217" s="33" t="str">
        <f ca="1">IF(INDIRECT(ADDRESS(ROW(tabula_ikm!G$8),COLUMN(tabula_ikm!G$1)+ROW(tabula_ikm!G12)+24,1,1,"tabula_ikm"))="","",INDIRECT(ADDRESS(ROW(tabula_ikm!G$8),COLUMN(tabula_ikm!G$1)+ROW(tabula_ikm!G12)+24,1,1,"tabula_ikm")))</f>
        <v/>
      </c>
      <c r="E217" s="33">
        <f t="shared" ca="1" si="31"/>
        <v>56.155272874353997</v>
      </c>
      <c r="F217" s="33" t="e">
        <f t="shared" ca="1" si="32"/>
        <v>#N/A</v>
      </c>
      <c r="G217" s="34">
        <f t="shared" ca="1" si="33"/>
        <v>56.155272874353997</v>
      </c>
      <c r="H217" s="34" t="str">
        <f t="shared" ca="1" si="34"/>
        <v/>
      </c>
    </row>
    <row r="218" spans="1:8">
      <c r="A218" s="35" t="s">
        <v>21</v>
      </c>
      <c r="B218" s="36">
        <f ca="1">SUM(B206:B216)</f>
        <v>256.48104799999999</v>
      </c>
      <c r="C218" s="36">
        <f ca="1">SUM(C206:C217)</f>
        <v>17.856287999999978</v>
      </c>
      <c r="D218" s="36">
        <f ca="1">SUM(D206:D217)</f>
        <v>-116.876411</v>
      </c>
      <c r="E218" s="36">
        <f ca="1">IFERROR((C218/B218-1)*100,"")</f>
        <v>-93.037969807422201</v>
      </c>
      <c r="F218" s="36">
        <f ca="1">IFERROR((D218/C218-1)*100,"")</f>
        <v>-754.53923570229233</v>
      </c>
      <c r="G218" s="36">
        <f t="shared" ref="G218" ca="1" si="35">IFERROR((C218/B218-1)*100,"")</f>
        <v>-93.037969807422201</v>
      </c>
      <c r="H218" s="36">
        <f t="shared" ca="1" si="34"/>
        <v>-754.53923570229233</v>
      </c>
    </row>
    <row r="219" spans="1:8">
      <c r="A219" s="42"/>
      <c r="B219" s="39"/>
      <c r="C219" s="39"/>
      <c r="D219" s="39"/>
      <c r="E219" s="39"/>
      <c r="F219" s="39"/>
      <c r="G219" s="43"/>
      <c r="H219" s="43"/>
    </row>
    <row r="220" spans="1:8">
      <c r="A220" s="42"/>
      <c r="B220" s="39"/>
      <c r="C220" s="39"/>
      <c r="D220" s="39"/>
      <c r="E220" s="39"/>
      <c r="F220" s="39"/>
      <c r="G220" s="43"/>
      <c r="H220" s="43"/>
    </row>
    <row r="221" spans="1:8">
      <c r="A221" s="42"/>
      <c r="B221" s="39"/>
      <c r="C221" s="39"/>
      <c r="D221" s="39"/>
      <c r="E221" s="39"/>
      <c r="F221" s="39"/>
      <c r="G221" s="43"/>
      <c r="H221" s="43"/>
    </row>
    <row r="222" spans="1:8">
      <c r="A222" s="42"/>
      <c r="B222" s="39"/>
      <c r="C222" s="39"/>
      <c r="D222" s="39"/>
      <c r="E222" s="39"/>
      <c r="F222" s="39"/>
      <c r="G222" s="43"/>
      <c r="H222" s="43"/>
    </row>
    <row r="223" spans="1:8">
      <c r="A223" s="42"/>
      <c r="B223" s="39"/>
      <c r="C223" s="39"/>
      <c r="D223" s="39"/>
      <c r="E223" s="39"/>
      <c r="F223" s="39"/>
      <c r="G223" s="43"/>
      <c r="H223" s="43"/>
    </row>
    <row r="224" spans="1:8">
      <c r="A224" s="42"/>
      <c r="B224" s="39"/>
      <c r="C224" s="39"/>
      <c r="D224" s="39"/>
      <c r="E224" s="39"/>
      <c r="F224" s="39"/>
      <c r="G224" s="43"/>
      <c r="H224" s="43"/>
    </row>
    <row r="225" spans="1:8">
      <c r="A225" s="42"/>
      <c r="B225" s="39"/>
      <c r="C225" s="39"/>
      <c r="D225" s="39"/>
      <c r="E225" s="39"/>
      <c r="F225" s="39"/>
      <c r="G225" s="43"/>
      <c r="H225" s="43"/>
    </row>
    <row r="226" spans="1:8">
      <c r="A226" s="42"/>
      <c r="B226" s="39"/>
      <c r="C226" s="39"/>
      <c r="D226" s="39"/>
      <c r="E226" s="39"/>
      <c r="F226" s="39"/>
      <c r="G226" s="43"/>
      <c r="H226" s="43"/>
    </row>
    <row r="227" spans="1:8">
      <c r="A227" s="43"/>
      <c r="B227" s="43"/>
      <c r="C227" s="43"/>
      <c r="D227" s="43"/>
      <c r="E227" s="43"/>
      <c r="F227" s="43"/>
      <c r="G227" s="43"/>
      <c r="H227" s="43"/>
    </row>
    <row r="228" spans="1:8">
      <c r="A228" s="43"/>
      <c r="B228" s="43"/>
      <c r="C228" s="43"/>
      <c r="D228" s="43"/>
      <c r="E228" s="43"/>
      <c r="F228" s="43"/>
      <c r="G228" s="43"/>
      <c r="H228" s="43"/>
    </row>
    <row r="229" spans="1:8">
      <c r="A229" s="43"/>
      <c r="B229" s="43"/>
      <c r="C229" s="43"/>
      <c r="D229" s="43"/>
      <c r="E229" s="43"/>
      <c r="F229" s="43"/>
      <c r="G229" s="43"/>
      <c r="H229" s="43"/>
    </row>
    <row r="230" spans="1:8">
      <c r="A230" s="43"/>
      <c r="B230" s="43"/>
      <c r="C230" s="43"/>
      <c r="D230" s="43"/>
      <c r="E230" s="43"/>
      <c r="F230" s="43"/>
      <c r="G230" s="43"/>
      <c r="H230" s="43"/>
    </row>
    <row r="231" spans="1:8">
      <c r="A231" s="43"/>
      <c r="B231" s="43"/>
      <c r="C231" s="43"/>
      <c r="D231" s="43"/>
      <c r="E231" s="43"/>
      <c r="F231" s="43"/>
      <c r="G231" s="43"/>
      <c r="H231" s="43"/>
    </row>
    <row r="232" spans="1:8">
      <c r="A232" s="43"/>
      <c r="B232" s="43"/>
      <c r="C232" s="43"/>
      <c r="D232" s="43"/>
      <c r="E232" s="43"/>
      <c r="F232" s="43"/>
      <c r="G232" s="43"/>
      <c r="H232" s="43"/>
    </row>
    <row r="233" spans="1:8">
      <c r="A233" s="43"/>
      <c r="B233" s="43"/>
      <c r="C233" s="43"/>
      <c r="D233" s="43"/>
      <c r="E233" s="43"/>
      <c r="F233" s="43"/>
      <c r="G233" s="43"/>
      <c r="H233" s="43"/>
    </row>
    <row r="234" spans="1:8">
      <c r="A234" s="102" t="s">
        <v>70</v>
      </c>
      <c r="B234" s="103"/>
      <c r="C234" s="103"/>
      <c r="D234" s="103"/>
      <c r="E234" s="103"/>
      <c r="F234" s="103"/>
      <c r="G234" s="103"/>
      <c r="H234" s="104"/>
    </row>
    <row r="235" spans="1:8">
      <c r="A235" s="26" t="s">
        <v>5</v>
      </c>
      <c r="B235" s="99" t="s">
        <v>177</v>
      </c>
      <c r="C235" s="101"/>
      <c r="D235" s="100"/>
      <c r="E235" s="99" t="s">
        <v>2</v>
      </c>
      <c r="F235" s="100"/>
      <c r="G235" s="99" t="s">
        <v>2</v>
      </c>
      <c r="H235" s="100"/>
    </row>
    <row r="236" spans="1:8">
      <c r="A236" s="27">
        <v>1</v>
      </c>
      <c r="B236" s="28">
        <v>2</v>
      </c>
      <c r="C236" s="28">
        <v>3</v>
      </c>
      <c r="D236" s="28">
        <v>4</v>
      </c>
      <c r="E236" s="29" t="s">
        <v>71</v>
      </c>
      <c r="F236" s="29" t="s">
        <v>72</v>
      </c>
      <c r="G236" s="29" t="s">
        <v>71</v>
      </c>
      <c r="H236" s="29" t="s">
        <v>72</v>
      </c>
    </row>
    <row r="237" spans="1:8">
      <c r="A237" s="30"/>
      <c r="B237" s="28" t="s">
        <v>23</v>
      </c>
      <c r="C237" s="28" t="s">
        <v>6</v>
      </c>
      <c r="D237" s="28" t="s">
        <v>7</v>
      </c>
      <c r="E237" s="28" t="s">
        <v>6</v>
      </c>
      <c r="F237" s="28" t="s">
        <v>7</v>
      </c>
      <c r="G237" s="27" t="s">
        <v>6</v>
      </c>
      <c r="H237" s="27" t="s">
        <v>7</v>
      </c>
    </row>
    <row r="238" spans="1:8" ht="29">
      <c r="A238" s="31"/>
      <c r="B238" s="26">
        <v>2021</v>
      </c>
      <c r="C238" s="26">
        <v>2022</v>
      </c>
      <c r="D238" s="26">
        <v>2023</v>
      </c>
      <c r="E238" s="26" t="s">
        <v>74</v>
      </c>
      <c r="F238" s="26" t="s">
        <v>73</v>
      </c>
      <c r="G238" s="26" t="s">
        <v>162</v>
      </c>
      <c r="H238" s="26" t="s">
        <v>73</v>
      </c>
    </row>
    <row r="239" spans="1:8">
      <c r="A239" s="32" t="s">
        <v>8</v>
      </c>
      <c r="B239" s="33">
        <f ca="1">IF(INDIRECT(ADDRESS(ROW(tabula_ikm!G$7),COLUMN(tabula_ikm!G$1)+ROW(tabula_ikm!G1),1,1,"tabula_ikm"))="","",INDIRECT(ADDRESS(ROW(tabula_ikm!G$7),COLUMN(tabula_ikm!G$1)+ROW(tabula_ikm!G1),1,1,"tabula_ikm")))</f>
        <v>164.800017</v>
      </c>
      <c r="C239" s="33">
        <f ca="1">IF(INDIRECT(ADDRESS(ROW(tabula_ikm!G$7),COLUMN(tabula_ikm!G$1)+ROW(tabula_ikm!G1)+12,1,1,"tabula_ikm"))="","",INDIRECT(ADDRESS(ROW(tabula_ikm!G$7),COLUMN(tabula_ikm!G$1)+ROW(tabula_ikm!G1)+12,1,1,"tabula_ikm")))</f>
        <v>333.47692799999999</v>
      </c>
      <c r="D239" s="33">
        <f ca="1">IF(INDIRECT(ADDRESS(ROW(tabula_ikm!G$7),COLUMN(tabula_ikm!G$1)+ROW(tabula_ikm!G1)+24,1,1,"tabula_ikm"))="","",INDIRECT(ADDRESS(ROW(tabula_ikm!G$7),COLUMN(tabula_ikm!G$1)+ROW(tabula_ikm!G1)+24,1,1,"tabula_ikm")))</f>
        <v>371.69686000000002</v>
      </c>
      <c r="E239" s="33">
        <f ca="1">IFERROR((C239/B239-1)*100,NA())</f>
        <v>102.35248398062966</v>
      </c>
      <c r="F239" s="33">
        <f ca="1">IFERROR((D239/C239-1)*100,NA())</f>
        <v>11.46104236632528</v>
      </c>
      <c r="G239" s="34">
        <f ca="1">IFERROR((C239/B239-1)*100,"")</f>
        <v>102.35248398062966</v>
      </c>
      <c r="H239" s="34">
        <f ca="1">IFERROR((D239/C239-1)*100,"")</f>
        <v>11.46104236632528</v>
      </c>
    </row>
    <row r="240" spans="1:8">
      <c r="A240" s="32" t="s">
        <v>9</v>
      </c>
      <c r="B240" s="33">
        <f ca="1">IF(INDIRECT(ADDRESS(ROW(tabula_ikm!G$7),COLUMN(tabula_ikm!G$1)+ROW(tabula_ikm!G2),1,1,"tabula_ikm"))="","",INDIRECT(ADDRESS(ROW(tabula_ikm!G$7),COLUMN(tabula_ikm!G$1)+ROW(tabula_ikm!G2),1,1,"tabula_ikm")))</f>
        <v>218.091015</v>
      </c>
      <c r="C240" s="33">
        <f ca="1">IF(INDIRECT(ADDRESS(ROW(tabula_ikm!G$7),COLUMN(tabula_ikm!G$1)+ROW(tabula_ikm!G2)+12,1,1,"tabula_ikm"))="","",INDIRECT(ADDRESS(ROW(tabula_ikm!G$7),COLUMN(tabula_ikm!G$1)+ROW(tabula_ikm!G2)+12,1,1,"tabula_ikm")))</f>
        <v>272.47740800000003</v>
      </c>
      <c r="D240" s="33">
        <f ca="1">IF(INDIRECT(ADDRESS(ROW(tabula_ikm!G$7),COLUMN(tabula_ikm!G$1)+ROW(tabula_ikm!G2)+24,1,1,"tabula_ikm"))="","",INDIRECT(ADDRESS(ROW(tabula_ikm!G$7),COLUMN(tabula_ikm!G$1)+ROW(tabula_ikm!G2)+24,1,1,"tabula_ikm")))</f>
        <v>304.65934900000002</v>
      </c>
      <c r="E240" s="33">
        <f t="shared" ref="E240:E250" ca="1" si="36">IFERROR((C240/B240-1)*100,NA())</f>
        <v>24.93747530130943</v>
      </c>
      <c r="F240" s="33">
        <f t="shared" ref="F240:F250" ca="1" si="37">IFERROR((D240/C240-1)*100,NA())</f>
        <v>11.810865802129179</v>
      </c>
      <c r="G240" s="34">
        <f t="shared" ref="G240:G251" ca="1" si="38">IFERROR((C240/B240-1)*100,"")</f>
        <v>24.93747530130943</v>
      </c>
      <c r="H240" s="34">
        <f t="shared" ref="H240:H251" ca="1" si="39">IFERROR((D240/C240-1)*100,"")</f>
        <v>11.810865802129179</v>
      </c>
    </row>
    <row r="241" spans="1:10">
      <c r="A241" s="32" t="s">
        <v>10</v>
      </c>
      <c r="B241" s="33">
        <f ca="1">IF(INDIRECT(ADDRESS(ROW(tabula_ikm!G$7),COLUMN(tabula_ikm!G$1)+ROW(tabula_ikm!G3),1,1,"tabula_ikm"))="","",INDIRECT(ADDRESS(ROW(tabula_ikm!G$7),COLUMN(tabula_ikm!G$1)+ROW(tabula_ikm!G3),1,1,"tabula_ikm")))</f>
        <v>220.95002299999999</v>
      </c>
      <c r="C241" s="33">
        <f ca="1">IF(INDIRECT(ADDRESS(ROW(tabula_ikm!G$7),COLUMN(tabula_ikm!G$1)+ROW(tabula_ikm!G3)+12,1,1,"tabula_ikm"))="","",INDIRECT(ADDRESS(ROW(tabula_ikm!G$7),COLUMN(tabula_ikm!G$1)+ROW(tabula_ikm!G3)+12,1,1,"tabula_ikm")))</f>
        <v>277.09401300000002</v>
      </c>
      <c r="D241" s="33">
        <f ca="1">IF(INDIRECT(ADDRESS(ROW(tabula_ikm!G$7),COLUMN(tabula_ikm!G$1)+ROW(tabula_ikm!G3)+24,1,1,"tabula_ikm"))="","",INDIRECT(ADDRESS(ROW(tabula_ikm!G$7),COLUMN(tabula_ikm!G$1)+ROW(tabula_ikm!G3)+24,1,1,"tabula_ikm")))</f>
        <v>251.64926199999991</v>
      </c>
      <c r="E241" s="33">
        <f t="shared" ca="1" si="36"/>
        <v>25.410266646589143</v>
      </c>
      <c r="F241" s="33">
        <f t="shared" ca="1" si="37"/>
        <v>-9.1827140992758025</v>
      </c>
      <c r="G241" s="34">
        <f t="shared" ca="1" si="38"/>
        <v>25.410266646589143</v>
      </c>
      <c r="H241" s="89">
        <f t="shared" ca="1" si="39"/>
        <v>-9.1827140992758025</v>
      </c>
    </row>
    <row r="242" spans="1:10">
      <c r="A242" s="32" t="s">
        <v>11</v>
      </c>
      <c r="B242" s="33">
        <f ca="1">IF(INDIRECT(ADDRESS(ROW(tabula_ikm!G$7),COLUMN(tabula_ikm!G$1)+ROW(tabula_ikm!G4),1,1,"tabula_ikm"))="","",INDIRECT(ADDRESS(ROW(tabula_ikm!G$7),COLUMN(tabula_ikm!G$1)+ROW(tabula_ikm!G4),1,1,"tabula_ikm")))</f>
        <v>255.257249</v>
      </c>
      <c r="C242" s="33">
        <f ca="1">IF(INDIRECT(ADDRESS(ROW(tabula_ikm!G$7),COLUMN(tabula_ikm!G$1)+ROW(tabula_ikm!G4)+12,1,1,"tabula_ikm"))="","",INDIRECT(ADDRESS(ROW(tabula_ikm!G$7),COLUMN(tabula_ikm!G$1)+ROW(tabula_ikm!G4)+12,1,1,"tabula_ikm")))</f>
        <v>295.57084500000008</v>
      </c>
      <c r="D242" s="33">
        <f ca="1">IF(INDIRECT(ADDRESS(ROW(tabula_ikm!G$7),COLUMN(tabula_ikm!G$1)+ROW(tabula_ikm!G4)+24,1,1,"tabula_ikm"))="","",INDIRECT(ADDRESS(ROW(tabula_ikm!G$7),COLUMN(tabula_ikm!G$1)+ROW(tabula_ikm!G4)+24,1,1,"tabula_ikm")))</f>
        <v>344.90570700000012</v>
      </c>
      <c r="E242" s="33">
        <f t="shared" ca="1" si="36"/>
        <v>15.793320721716331</v>
      </c>
      <c r="F242" s="33">
        <f t="shared" ca="1" si="37"/>
        <v>16.691383076027023</v>
      </c>
      <c r="G242" s="34">
        <f t="shared" ca="1" si="38"/>
        <v>15.793320721716331</v>
      </c>
      <c r="H242" s="34">
        <f t="shared" ca="1" si="39"/>
        <v>16.691383076027023</v>
      </c>
      <c r="J242" s="105"/>
    </row>
    <row r="243" spans="1:10">
      <c r="A243" s="32" t="s">
        <v>12</v>
      </c>
      <c r="B243" s="33">
        <f ca="1">IF(INDIRECT(ADDRESS(ROW(tabula_ikm!G$7),COLUMN(tabula_ikm!G$1)+ROW(tabula_ikm!G5),1,1,"tabula_ikm"))="","",INDIRECT(ADDRESS(ROW(tabula_ikm!G$7),COLUMN(tabula_ikm!G$1)+ROW(tabula_ikm!G5),1,1,"tabula_ikm")))</f>
        <v>254.32611000000009</v>
      </c>
      <c r="C243" s="33">
        <f ca="1">IF(INDIRECT(ADDRESS(ROW(tabula_ikm!G$7),COLUMN(tabula_ikm!G$1)+ROW(tabula_ikm!G5)+12,1,1,"tabula_ikm"))="","",INDIRECT(ADDRESS(ROW(tabula_ikm!G$7),COLUMN(tabula_ikm!G$1)+ROW(tabula_ikm!G5)+12,1,1,"tabula_ikm")))</f>
        <v>313.84588599999984</v>
      </c>
      <c r="D243" s="33" t="str">
        <f ca="1">IF(INDIRECT(ADDRESS(ROW(tabula_ikm!G$7),COLUMN(tabula_ikm!G$1)+ROW(tabula_ikm!G5)+24,1,1,"tabula_ikm"))="","",INDIRECT(ADDRESS(ROW(tabula_ikm!G$7),COLUMN(tabula_ikm!G$1)+ROW(tabula_ikm!G5)+24,1,1,"tabula_ikm")))</f>
        <v/>
      </c>
      <c r="E243" s="33">
        <f t="shared" ca="1" si="36"/>
        <v>23.402935703298301</v>
      </c>
      <c r="F243" s="33" t="e">
        <f t="shared" ca="1" si="37"/>
        <v>#N/A</v>
      </c>
      <c r="G243" s="34">
        <f t="shared" ca="1" si="38"/>
        <v>23.402935703298301</v>
      </c>
      <c r="H243" s="34" t="str">
        <f t="shared" ca="1" si="39"/>
        <v/>
      </c>
    </row>
    <row r="244" spans="1:10">
      <c r="A244" s="32" t="s">
        <v>13</v>
      </c>
      <c r="B244" s="33">
        <f ca="1">IF(INDIRECT(ADDRESS(ROW(tabula_ikm!G$7),COLUMN(tabula_ikm!G$1)+ROW(tabula_ikm!G6),1,1,"tabula_ikm"))="","",INDIRECT(ADDRESS(ROW(tabula_ikm!G$7),COLUMN(tabula_ikm!G$1)+ROW(tabula_ikm!G6),1,1,"tabula_ikm")))</f>
        <v>253.08305599999994</v>
      </c>
      <c r="C244" s="33">
        <f ca="1">IF(INDIRECT(ADDRESS(ROW(tabula_ikm!G$7),COLUMN(tabula_ikm!G$1)+ROW(tabula_ikm!G6)+12,1,1,"tabula_ikm"))="","",INDIRECT(ADDRESS(ROW(tabula_ikm!G$7),COLUMN(tabula_ikm!G$1)+ROW(tabula_ikm!G6)+12,1,1,"tabula_ikm")))</f>
        <v>318.98133200000007</v>
      </c>
      <c r="D244" s="33" t="str">
        <f ca="1">IF(INDIRECT(ADDRESS(ROW(tabula_ikm!G$7),COLUMN(tabula_ikm!G$1)+ROW(tabula_ikm!G6)+24,1,1,"tabula_ikm"))="","",INDIRECT(ADDRESS(ROW(tabula_ikm!G$7),COLUMN(tabula_ikm!G$1)+ROW(tabula_ikm!G6)+24,1,1,"tabula_ikm")))</f>
        <v/>
      </c>
      <c r="E244" s="33">
        <f t="shared" ca="1" si="36"/>
        <v>26.038201466952458</v>
      </c>
      <c r="F244" s="33" t="e">
        <f t="shared" ca="1" si="37"/>
        <v>#N/A</v>
      </c>
      <c r="G244" s="34">
        <f t="shared" ca="1" si="38"/>
        <v>26.038201466952458</v>
      </c>
      <c r="H244" s="34" t="str">
        <f t="shared" ca="1" si="39"/>
        <v/>
      </c>
    </row>
    <row r="245" spans="1:10">
      <c r="A245" s="32" t="s">
        <v>14</v>
      </c>
      <c r="B245" s="33">
        <f ca="1">IF(INDIRECT(ADDRESS(ROW(tabula_ikm!G$7),COLUMN(tabula_ikm!G$1)+ROW(tabula_ikm!G7),1,1,"tabula_ikm"))="","",INDIRECT(ADDRESS(ROW(tabula_ikm!G$7),COLUMN(tabula_ikm!G$1)+ROW(tabula_ikm!G7),1,1,"tabula_ikm")))</f>
        <v>284.50926299999992</v>
      </c>
      <c r="C245" s="33">
        <f ca="1">IF(INDIRECT(ADDRESS(ROW(tabula_ikm!G$7),COLUMN(tabula_ikm!G$1)+ROW(tabula_ikm!G7)+12,1,1,"tabula_ikm"))="","",INDIRECT(ADDRESS(ROW(tabula_ikm!G$7),COLUMN(tabula_ikm!G$1)+ROW(tabula_ikm!G7)+12,1,1,"tabula_ikm")))</f>
        <v>308.24038399999995</v>
      </c>
      <c r="D245" s="33" t="str">
        <f ca="1">IF(INDIRECT(ADDRESS(ROW(tabula_ikm!G$7),COLUMN(tabula_ikm!G$1)+ROW(tabula_ikm!G7)+24,1,1,"tabula_ikm"))="","",INDIRECT(ADDRESS(ROW(tabula_ikm!G$7),COLUMN(tabula_ikm!G$1)+ROW(tabula_ikm!G7)+24,1,1,"tabula_ikm")))</f>
        <v/>
      </c>
      <c r="E245" s="33">
        <f t="shared" ca="1" si="36"/>
        <v>8.3410714820909106</v>
      </c>
      <c r="F245" s="33" t="e">
        <f t="shared" ca="1" si="37"/>
        <v>#N/A</v>
      </c>
      <c r="G245" s="34">
        <f t="shared" ca="1" si="38"/>
        <v>8.3410714820909106</v>
      </c>
      <c r="H245" s="34" t="str">
        <f t="shared" ca="1" si="39"/>
        <v/>
      </c>
    </row>
    <row r="246" spans="1:10">
      <c r="A246" s="32" t="s">
        <v>15</v>
      </c>
      <c r="B246" s="33">
        <f ca="1">IF(INDIRECT(ADDRESS(ROW(tabula_ikm!G$7),COLUMN(tabula_ikm!G$1)+ROW(tabula_ikm!G8),1,1,"tabula_ikm"))="","",INDIRECT(ADDRESS(ROW(tabula_ikm!G$7),COLUMN(tabula_ikm!G$1)+ROW(tabula_ikm!G8),1,1,"tabula_ikm")))</f>
        <v>279.48490900000002</v>
      </c>
      <c r="C246" s="33">
        <f ca="1">IF(INDIRECT(ADDRESS(ROW(tabula_ikm!G$7),COLUMN(tabula_ikm!G$1)+ROW(tabula_ikm!G8)+12,1,1,"tabula_ikm"))="","",INDIRECT(ADDRESS(ROW(tabula_ikm!G$7),COLUMN(tabula_ikm!G$1)+ROW(tabula_ikm!G8)+12,1,1,"tabula_ikm")))</f>
        <v>303.84380999999985</v>
      </c>
      <c r="D246" s="33" t="str">
        <f ca="1">IF(INDIRECT(ADDRESS(ROW(tabula_ikm!G$7),COLUMN(tabula_ikm!G$1)+ROW(tabula_ikm!G8)+24,1,1,"tabula_ikm"))="","",INDIRECT(ADDRESS(ROW(tabula_ikm!G$7),COLUMN(tabula_ikm!G$1)+ROW(tabula_ikm!G8)+24,1,1,"tabula_ikm")))</f>
        <v/>
      </c>
      <c r="E246" s="33">
        <f t="shared" ca="1" si="36"/>
        <v>8.715640886356347</v>
      </c>
      <c r="F246" s="33" t="e">
        <f t="shared" ca="1" si="37"/>
        <v>#N/A</v>
      </c>
      <c r="G246" s="34">
        <f t="shared" ca="1" si="38"/>
        <v>8.715640886356347</v>
      </c>
      <c r="H246" s="34" t="str">
        <f t="shared" ca="1" si="39"/>
        <v/>
      </c>
    </row>
    <row r="247" spans="1:10">
      <c r="A247" s="32" t="s">
        <v>16</v>
      </c>
      <c r="B247" s="33">
        <f ca="1">IF(INDIRECT(ADDRESS(ROW(tabula_ikm!G$7),COLUMN(tabula_ikm!G$1)+ROW(tabula_ikm!G9),1,1,"tabula_ikm"))="","",INDIRECT(ADDRESS(ROW(tabula_ikm!G$7),COLUMN(tabula_ikm!G$1)+ROW(tabula_ikm!G9),1,1,"tabula_ikm")))</f>
        <v>273.8999980000001</v>
      </c>
      <c r="C247" s="33">
        <f ca="1">IF(INDIRECT(ADDRESS(ROW(tabula_ikm!G$7),COLUMN(tabula_ikm!G$1)+ROW(tabula_ikm!G9)+12,1,1,"tabula_ikm"))="","",INDIRECT(ADDRESS(ROW(tabula_ikm!G$7),COLUMN(tabula_ikm!G$1)+ROW(tabula_ikm!G9)+12,1,1,"tabula_ikm")))</f>
        <v>324.38634600000023</v>
      </c>
      <c r="D247" s="33" t="str">
        <f ca="1">IF(INDIRECT(ADDRESS(ROW(tabula_ikm!G$7),COLUMN(tabula_ikm!G$1)+ROW(tabula_ikm!G9)+24,1,1,"tabula_ikm"))="","",INDIRECT(ADDRESS(ROW(tabula_ikm!G$7),COLUMN(tabula_ikm!G$1)+ROW(tabula_ikm!G9)+24,1,1,"tabula_ikm")))</f>
        <v/>
      </c>
      <c r="E247" s="33">
        <f t="shared" ca="1" si="36"/>
        <v>18.432401741017944</v>
      </c>
      <c r="F247" s="33" t="e">
        <f t="shared" ca="1" si="37"/>
        <v>#N/A</v>
      </c>
      <c r="G247" s="34">
        <f t="shared" ca="1" si="38"/>
        <v>18.432401741017944</v>
      </c>
      <c r="H247" s="34" t="str">
        <f t="shared" ca="1" si="39"/>
        <v/>
      </c>
    </row>
    <row r="248" spans="1:10">
      <c r="A248" s="32" t="s">
        <v>17</v>
      </c>
      <c r="B248" s="33">
        <f ca="1">IF(INDIRECT(ADDRESS(ROW(tabula_ikm!G$7),COLUMN(tabula_ikm!G$1)+ROW(tabula_ikm!G10),1,1,"tabula_ikm"))="","",INDIRECT(ADDRESS(ROW(tabula_ikm!G$7),COLUMN(tabula_ikm!G$1)+ROW(tabula_ikm!G10),1,1,"tabula_ikm")))</f>
        <v>263.7642350000001</v>
      </c>
      <c r="C248" s="33">
        <f ca="1">IF(INDIRECT(ADDRESS(ROW(tabula_ikm!G$7),COLUMN(tabula_ikm!G$1)+ROW(tabula_ikm!G10)+12,1,1,"tabula_ikm"))="","",INDIRECT(ADDRESS(ROW(tabula_ikm!G$7),COLUMN(tabula_ikm!G$1)+ROW(tabula_ikm!G10)+12,1,1,"tabula_ikm")))</f>
        <v>335.20633300000009</v>
      </c>
      <c r="D248" s="33" t="str">
        <f ca="1">IF(INDIRECT(ADDRESS(ROW(tabula_ikm!G$7),COLUMN(tabula_ikm!G$1)+ROW(tabula_ikm!G10)+24,1,1,"tabula_ikm"))="","",INDIRECT(ADDRESS(ROW(tabula_ikm!G$7),COLUMN(tabula_ikm!G$1)+ROW(tabula_ikm!G10)+24,1,1,"tabula_ikm")))</f>
        <v/>
      </c>
      <c r="E248" s="33">
        <f t="shared" ca="1" si="36"/>
        <v>27.085589522779685</v>
      </c>
      <c r="F248" s="33" t="e">
        <f t="shared" ca="1" si="37"/>
        <v>#N/A</v>
      </c>
      <c r="G248" s="34">
        <f t="shared" ca="1" si="38"/>
        <v>27.085589522779685</v>
      </c>
      <c r="H248" s="34" t="str">
        <f t="shared" ca="1" si="39"/>
        <v/>
      </c>
    </row>
    <row r="249" spans="1:10">
      <c r="A249" s="32" t="s">
        <v>18</v>
      </c>
      <c r="B249" s="33">
        <f ca="1">IF(INDIRECT(ADDRESS(ROW(tabula_ikm!G$7),COLUMN(tabula_ikm!G$1)+ROW(tabula_ikm!G11),1,1,"tabula_ikm"))="","",INDIRECT(ADDRESS(ROW(tabula_ikm!G$7),COLUMN(tabula_ikm!G$1)+ROW(tabula_ikm!G11),1,1,"tabula_ikm")))</f>
        <v>238.66714400000001</v>
      </c>
      <c r="C249" s="33">
        <f ca="1">IF(INDIRECT(ADDRESS(ROW(tabula_ikm!G$7),COLUMN(tabula_ikm!G$1)+ROW(tabula_ikm!G11)+12,1,1,"tabula_ikm"))="","",INDIRECT(ADDRESS(ROW(tabula_ikm!G$7),COLUMN(tabula_ikm!G$1)+ROW(tabula_ikm!G11)+12,1,1,"tabula_ikm")))</f>
        <v>301.93006699999978</v>
      </c>
      <c r="D249" s="33" t="str">
        <f ca="1">IF(INDIRECT(ADDRESS(ROW(tabula_ikm!G$7),COLUMN(tabula_ikm!G$1)+ROW(tabula_ikm!G11)+24,1,1,"tabula_ikm"))="","",INDIRECT(ADDRESS(ROW(tabula_ikm!G$7),COLUMN(tabula_ikm!G$1)+ROW(tabula_ikm!G11)+24,1,1,"tabula_ikm")))</f>
        <v/>
      </c>
      <c r="E249" s="33">
        <f t="shared" ca="1" si="36"/>
        <v>26.506758299332468</v>
      </c>
      <c r="F249" s="33" t="e">
        <f t="shared" ca="1" si="37"/>
        <v>#N/A</v>
      </c>
      <c r="G249" s="34">
        <f t="shared" ca="1" si="38"/>
        <v>26.506758299332468</v>
      </c>
      <c r="H249" s="34" t="str">
        <f t="shared" ca="1" si="39"/>
        <v/>
      </c>
    </row>
    <row r="250" spans="1:10">
      <c r="A250" s="32" t="s">
        <v>19</v>
      </c>
      <c r="B250" s="33">
        <f ca="1">IF(INDIRECT(ADDRESS(ROW(tabula_ikm!G$7),COLUMN(tabula_ikm!G$1)+ROW(tabula_ikm!G12),1,1,"tabula_ikm"))="","",INDIRECT(ADDRESS(ROW(tabula_ikm!G$7),COLUMN(tabula_ikm!G$1)+ROW(tabula_ikm!G12),1,1,"tabula_ikm")))</f>
        <v>414.23251699999992</v>
      </c>
      <c r="C250" s="33">
        <f ca="1">IF(INDIRECT(ADDRESS(ROW(tabula_ikm!G$7),COLUMN(tabula_ikm!G$1)+ROW(tabula_ikm!G12)+12,1,1,"tabula_ikm"))="","",INDIRECT(ADDRESS(ROW(tabula_ikm!G$7),COLUMN(tabula_ikm!G$1)+ROW(tabula_ikm!G12)+12,1,1,"tabula_ikm")))</f>
        <v>282.16279299999997</v>
      </c>
      <c r="D250" s="33" t="str">
        <f ca="1">IF(INDIRECT(ADDRESS(ROW(tabula_ikm!G$7),COLUMN(tabula_ikm!G$1)+ROW(tabula_ikm!G12)+24,1,1,"tabula_ikm"))="","",INDIRECT(ADDRESS(ROW(tabula_ikm!G$7),COLUMN(tabula_ikm!G$1)+ROW(tabula_ikm!G12)+24,1,1,"tabula_ikm")))</f>
        <v/>
      </c>
      <c r="E250" s="33">
        <f t="shared" ca="1" si="36"/>
        <v>-31.882992903717401</v>
      </c>
      <c r="F250" s="33" t="e">
        <f t="shared" ca="1" si="37"/>
        <v>#N/A</v>
      </c>
      <c r="G250" s="34">
        <f t="shared" ca="1" si="38"/>
        <v>-31.882992903717401</v>
      </c>
      <c r="H250" s="34" t="str">
        <f t="shared" ca="1" si="39"/>
        <v/>
      </c>
    </row>
    <row r="251" spans="1:10">
      <c r="A251" s="35" t="s">
        <v>21</v>
      </c>
      <c r="B251" s="36">
        <f ca="1">SUM(B239:B250)</f>
        <v>3121.0655360000001</v>
      </c>
      <c r="C251" s="36">
        <f ca="1">SUM(C239:C250)</f>
        <v>3667.2161449999999</v>
      </c>
      <c r="D251" s="36">
        <f ca="1">SUM(D239:D250)</f>
        <v>1272.9111780000001</v>
      </c>
      <c r="E251" s="36">
        <f ca="1">IFERROR((C251/B251-1)*100,"")</f>
        <v>17.498851039826402</v>
      </c>
      <c r="F251" s="36">
        <f ca="1">IFERROR((D251/C251-1)*100,"")</f>
        <v>-65.289442245297494</v>
      </c>
      <c r="G251" s="36">
        <f t="shared" ca="1" si="38"/>
        <v>17.498851039826402</v>
      </c>
      <c r="H251" s="36">
        <f t="shared" ca="1" si="39"/>
        <v>-65.289442245297494</v>
      </c>
    </row>
    <row r="252" spans="1:10">
      <c r="A252" s="43"/>
      <c r="B252" s="43"/>
      <c r="C252" s="43"/>
      <c r="D252" s="43"/>
      <c r="E252" s="43"/>
      <c r="F252" s="43"/>
      <c r="G252" s="43"/>
      <c r="H252" s="43"/>
    </row>
    <row r="253" spans="1:10">
      <c r="A253" s="43"/>
      <c r="B253" s="43"/>
      <c r="C253" s="43"/>
      <c r="D253" s="43"/>
      <c r="E253" s="43"/>
      <c r="F253" s="43"/>
      <c r="G253" s="43"/>
      <c r="H253" s="43"/>
    </row>
    <row r="254" spans="1:10">
      <c r="A254" s="43"/>
      <c r="B254" s="43"/>
      <c r="C254" s="43"/>
      <c r="D254" s="43"/>
      <c r="E254" s="43"/>
      <c r="F254" s="43"/>
      <c r="G254" s="43"/>
      <c r="H254" s="43"/>
    </row>
    <row r="255" spans="1:10">
      <c r="A255" s="43"/>
      <c r="B255" s="43"/>
      <c r="C255" s="43"/>
      <c r="D255" s="43"/>
      <c r="E255" s="43"/>
      <c r="F255" s="43"/>
      <c r="G255" s="43"/>
      <c r="H255" s="43"/>
    </row>
    <row r="256" spans="1:10">
      <c r="A256" s="43"/>
      <c r="B256" s="43"/>
      <c r="C256" s="43"/>
      <c r="D256" s="43"/>
      <c r="E256" s="43"/>
      <c r="F256" s="43"/>
      <c r="G256" s="43"/>
      <c r="H256" s="43"/>
    </row>
    <row r="257" spans="1:8">
      <c r="A257" s="43"/>
      <c r="B257" s="43"/>
      <c r="C257" s="43"/>
      <c r="D257" s="43"/>
      <c r="E257" s="43"/>
      <c r="F257" s="43"/>
      <c r="G257" s="43"/>
      <c r="H257" s="43"/>
    </row>
    <row r="258" spans="1:8">
      <c r="A258" s="43"/>
      <c r="B258" s="43"/>
      <c r="C258" s="43"/>
      <c r="D258" s="43"/>
      <c r="E258" s="43"/>
      <c r="F258" s="43"/>
      <c r="G258" s="43"/>
      <c r="H258" s="43"/>
    </row>
    <row r="259" spans="1:8">
      <c r="A259" s="43"/>
      <c r="B259" s="43"/>
      <c r="C259" s="43"/>
      <c r="D259" s="43"/>
      <c r="E259" s="43"/>
      <c r="F259" s="43"/>
      <c r="G259" s="43"/>
      <c r="H259" s="43"/>
    </row>
    <row r="260" spans="1:8">
      <c r="A260" s="43"/>
      <c r="B260" s="43"/>
      <c r="C260" s="43"/>
      <c r="D260" s="43"/>
      <c r="E260" s="43"/>
      <c r="F260" s="43"/>
      <c r="G260" s="43"/>
      <c r="H260" s="43"/>
    </row>
    <row r="261" spans="1:8">
      <c r="A261" s="43"/>
      <c r="B261" s="43"/>
      <c r="C261" s="43"/>
      <c r="D261" s="43"/>
      <c r="E261" s="43"/>
      <c r="F261" s="43"/>
      <c r="G261" s="43"/>
      <c r="H261" s="43"/>
    </row>
    <row r="262" spans="1:8">
      <c r="A262" s="43"/>
      <c r="B262" s="43"/>
      <c r="C262" s="43"/>
      <c r="D262" s="43"/>
      <c r="E262" s="43"/>
      <c r="F262" s="43"/>
      <c r="G262" s="43"/>
      <c r="H262" s="43"/>
    </row>
    <row r="263" spans="1:8">
      <c r="A263" s="43"/>
      <c r="B263" s="43"/>
      <c r="C263" s="43"/>
      <c r="D263" s="43"/>
      <c r="E263" s="43"/>
      <c r="F263" s="43"/>
      <c r="G263" s="43"/>
      <c r="H263" s="43"/>
    </row>
    <row r="264" spans="1:8">
      <c r="A264" s="43"/>
      <c r="B264" s="43"/>
      <c r="C264" s="43"/>
      <c r="D264" s="43"/>
      <c r="E264" s="43"/>
      <c r="F264" s="43"/>
      <c r="G264" s="43"/>
      <c r="H264" s="43"/>
    </row>
    <row r="265" spans="1:8">
      <c r="A265" s="43"/>
      <c r="B265" s="43"/>
      <c r="C265" s="43"/>
      <c r="D265" s="43"/>
      <c r="E265" s="43"/>
      <c r="F265" s="43"/>
      <c r="G265" s="43"/>
      <c r="H265" s="43"/>
    </row>
    <row r="266" spans="1:8">
      <c r="A266" s="43"/>
      <c r="B266" s="43"/>
      <c r="C266" s="43"/>
      <c r="D266" s="43"/>
      <c r="E266" s="43"/>
      <c r="F266" s="43"/>
      <c r="G266" s="43"/>
      <c r="H266" s="43"/>
    </row>
    <row r="267" spans="1:8">
      <c r="A267" s="43"/>
      <c r="B267" s="43"/>
      <c r="C267" s="43"/>
      <c r="D267" s="43"/>
      <c r="E267" s="43"/>
      <c r="F267" s="43"/>
      <c r="G267" s="43"/>
      <c r="H267" s="43"/>
    </row>
    <row r="268" spans="1:8">
      <c r="A268" s="43"/>
      <c r="B268" s="43"/>
      <c r="C268" s="43"/>
      <c r="D268" s="43"/>
      <c r="E268" s="43"/>
      <c r="F268" s="43"/>
      <c r="G268" s="43"/>
      <c r="H268" s="43"/>
    </row>
    <row r="269" spans="1:8">
      <c r="A269" s="43"/>
      <c r="B269" s="43"/>
      <c r="C269" s="43"/>
      <c r="D269" s="43"/>
      <c r="E269" s="43"/>
      <c r="F269" s="43"/>
      <c r="G269" s="43"/>
      <c r="H269" s="43"/>
    </row>
    <row r="270" spans="1:8">
      <c r="A270" s="43"/>
      <c r="B270" s="43"/>
      <c r="C270" s="43"/>
      <c r="D270" s="43"/>
      <c r="E270" s="43"/>
      <c r="F270" s="43"/>
      <c r="G270" s="43"/>
      <c r="H270" s="43"/>
    </row>
    <row r="271" spans="1:8">
      <c r="A271" s="43"/>
      <c r="B271" s="43"/>
      <c r="C271" s="43"/>
      <c r="D271" s="43"/>
      <c r="E271" s="43"/>
      <c r="F271" s="43"/>
      <c r="G271" s="43"/>
      <c r="H271" s="43"/>
    </row>
    <row r="272" spans="1:8">
      <c r="A272" s="43"/>
      <c r="B272" s="43"/>
      <c r="C272" s="43"/>
      <c r="D272" s="43"/>
      <c r="E272" s="43"/>
      <c r="F272" s="43"/>
      <c r="G272" s="43"/>
      <c r="H272" s="43"/>
    </row>
    <row r="273" spans="1:8">
      <c r="A273" s="43"/>
      <c r="B273" s="43"/>
      <c r="C273" s="43"/>
      <c r="D273" s="43"/>
      <c r="E273" s="43"/>
      <c r="F273" s="43"/>
      <c r="G273" s="43"/>
      <c r="H273" s="43"/>
    </row>
    <row r="274" spans="1:8">
      <c r="A274" s="43"/>
      <c r="B274" s="43"/>
      <c r="C274" s="43"/>
      <c r="D274" s="43"/>
      <c r="E274" s="43"/>
      <c r="F274" s="43"/>
      <c r="G274" s="43"/>
      <c r="H274" s="43"/>
    </row>
    <row r="275" spans="1:8" hidden="1">
      <c r="A275" s="43"/>
      <c r="B275" s="43"/>
      <c r="C275" s="43"/>
      <c r="D275" s="43"/>
      <c r="E275" s="43"/>
      <c r="F275" s="43"/>
      <c r="G275" s="43"/>
      <c r="H275" s="43"/>
    </row>
    <row r="276" spans="1:8" hidden="1">
      <c r="A276" s="43"/>
      <c r="B276" s="43"/>
      <c r="C276" s="43"/>
      <c r="D276" s="43"/>
      <c r="E276" s="43"/>
      <c r="F276" s="43"/>
      <c r="G276" s="43"/>
      <c r="H276" s="43"/>
    </row>
    <row r="277" spans="1:8" hidden="1">
      <c r="A277" s="43"/>
      <c r="B277" s="43"/>
      <c r="C277" s="43"/>
      <c r="D277" s="43"/>
      <c r="E277" s="43"/>
      <c r="F277" s="43"/>
      <c r="G277" s="43"/>
      <c r="H277" s="43"/>
    </row>
    <row r="278" spans="1:8" hidden="1">
      <c r="A278" s="43"/>
      <c r="B278" s="43"/>
      <c r="C278" s="43"/>
      <c r="D278" s="43"/>
      <c r="E278" s="43"/>
      <c r="F278" s="43"/>
      <c r="G278" s="43"/>
      <c r="H278" s="43"/>
    </row>
    <row r="279" spans="1:8" hidden="1">
      <c r="A279" s="43"/>
      <c r="B279" s="43"/>
      <c r="C279" s="43"/>
      <c r="D279" s="43"/>
      <c r="E279" s="43"/>
      <c r="F279" s="43"/>
      <c r="G279" s="43"/>
      <c r="H279" s="43"/>
    </row>
    <row r="280" spans="1:8" hidden="1">
      <c r="A280" s="43"/>
      <c r="B280" s="43"/>
      <c r="C280" s="43"/>
      <c r="D280" s="43"/>
      <c r="E280" s="43"/>
      <c r="F280" s="43"/>
      <c r="G280" s="43"/>
      <c r="H280" s="43"/>
    </row>
  </sheetData>
  <mergeCells count="32">
    <mergeCell ref="A1:H1"/>
    <mergeCell ref="B2:D2"/>
    <mergeCell ref="E2:F2"/>
    <mergeCell ref="G2:H2"/>
    <mergeCell ref="A36:H36"/>
    <mergeCell ref="A69:H69"/>
    <mergeCell ref="A102:H102"/>
    <mergeCell ref="A135:H135"/>
    <mergeCell ref="A168:H168"/>
    <mergeCell ref="B37:D37"/>
    <mergeCell ref="E37:F37"/>
    <mergeCell ref="G37:H37"/>
    <mergeCell ref="B70:D70"/>
    <mergeCell ref="E70:F70"/>
    <mergeCell ref="G70:H70"/>
    <mergeCell ref="B136:D136"/>
    <mergeCell ref="E136:F136"/>
    <mergeCell ref="G136:H136"/>
    <mergeCell ref="B103:D103"/>
    <mergeCell ref="E103:F103"/>
    <mergeCell ref="G103:H103"/>
    <mergeCell ref="E235:F235"/>
    <mergeCell ref="G235:H235"/>
    <mergeCell ref="B169:D169"/>
    <mergeCell ref="E169:F169"/>
    <mergeCell ref="G169:H169"/>
    <mergeCell ref="B202:D202"/>
    <mergeCell ref="E202:F202"/>
    <mergeCell ref="G202:H202"/>
    <mergeCell ref="B235:D235"/>
    <mergeCell ref="A201:H201"/>
    <mergeCell ref="A234:H234"/>
  </mergeCells>
  <conditionalFormatting sqref="I107:XFD118">
    <cfRule type="colorScale" priority="9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55118110236220474" right="0.55118110236220474" top="0.98425196850393704" bottom="0.98425196850393704" header="0.31496062992125984" footer="0.31496062992125984"/>
  <pageSetup paperSize="9" scale="90" orientation="landscape" r:id="rId1"/>
  <headerFooter>
    <oddHeader xml:space="preserve">&amp;L&amp;"Calibri Light,Regular"Kopsavilkums par budžeta ieņēmumu daļas izpildi
</oddHeader>
    <oddFooter>&amp;L&amp;"Calibri Light,Regular"&amp;P no &amp;N,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2" ma:contentTypeDescription="Izveidot jaunu dokumentu." ma:contentTypeScope="" ma:versionID="6884e3f5bc076c6f1483d42fedb34284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aa5f3d1eb13ebfb57ad79ad23753164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2F7E8F82-75F1-4A02-9441-47B69FDAF2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tabula_kum</vt:lpstr>
      <vt:lpstr>tabula_ikm</vt:lpstr>
      <vt:lpstr>mēneša_apskats</vt:lpstr>
      <vt:lpstr>Ikmēneša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cp:lastPrinted>2019-09-10T13:37:57Z</cp:lastPrinted>
  <dcterms:created xsi:type="dcterms:W3CDTF">2015-07-23T08:13:49Z</dcterms:created>
  <dcterms:modified xsi:type="dcterms:W3CDTF">2023-05-18T10:22:21Z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0x010100F58CCBB6005E9C4F91FE64D77491D1CF</vt:lpwstr>
  </property>
  <property fmtid="{D5CDD505-2E9C-101B-9397-08002B2CF9AE}" pid="3" name="MediaServiceImageTags">
    <vt:lpwstr/>
  </property>
</Properties>
</file>